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4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charts/chart46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harts/chart47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charts/chart48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charts/chart49.xml" ContentType="application/vnd.openxmlformats-officedocument.drawingml.chart+xml"/>
  <Override PartName="/xl/charts/style49.xml" ContentType="application/vnd.ms-office.chartstyle+xml"/>
  <Override PartName="/xl/charts/colors49.xml" ContentType="application/vnd.ms-office.chartcolorstyle+xml"/>
  <Override PartName="/xl/charts/chart50.xml" ContentType="application/vnd.openxmlformats-officedocument.drawingml.chart+xml"/>
  <Override PartName="/xl/charts/style50.xml" ContentType="application/vnd.ms-office.chartstyle+xml"/>
  <Override PartName="/xl/charts/colors50.xml" ContentType="application/vnd.ms-office.chartcolorstyle+xml"/>
  <Override PartName="/xl/charts/chart51.xml" ContentType="application/vnd.openxmlformats-officedocument.drawingml.chart+xml"/>
  <Override PartName="/xl/charts/style51.xml" ContentType="application/vnd.ms-office.chartstyle+xml"/>
  <Override PartName="/xl/charts/colors51.xml" ContentType="application/vnd.ms-office.chartcolorstyle+xml"/>
  <Override PartName="/xl/charts/chart52.xml" ContentType="application/vnd.openxmlformats-officedocument.drawingml.chart+xml"/>
  <Override PartName="/xl/charts/style52.xml" ContentType="application/vnd.ms-office.chartstyle+xml"/>
  <Override PartName="/xl/charts/colors52.xml" ContentType="application/vnd.ms-office.chartcolorstyle+xml"/>
  <Override PartName="/xl/charts/chart53.xml" ContentType="application/vnd.openxmlformats-officedocument.drawingml.chart+xml"/>
  <Override PartName="/xl/charts/style53.xml" ContentType="application/vnd.ms-office.chartstyle+xml"/>
  <Override PartName="/xl/charts/colors53.xml" ContentType="application/vnd.ms-office.chartcolorstyle+xml"/>
  <Override PartName="/xl/charts/chart54.xml" ContentType="application/vnd.openxmlformats-officedocument.drawingml.chart+xml"/>
  <Override PartName="/xl/charts/style54.xml" ContentType="application/vnd.ms-office.chartstyle+xml"/>
  <Override PartName="/xl/charts/colors54.xml" ContentType="application/vnd.ms-office.chartcolorstyle+xml"/>
  <Override PartName="/xl/charts/chart55.xml" ContentType="application/vnd.openxmlformats-officedocument.drawingml.chart+xml"/>
  <Override PartName="/xl/charts/style55.xml" ContentType="application/vnd.ms-office.chartstyle+xml"/>
  <Override PartName="/xl/charts/colors55.xml" ContentType="application/vnd.ms-office.chartcolorstyle+xml"/>
  <Override PartName="/xl/charts/chart56.xml" ContentType="application/vnd.openxmlformats-officedocument.drawingml.chart+xml"/>
  <Override PartName="/xl/charts/style56.xml" ContentType="application/vnd.ms-office.chartstyle+xml"/>
  <Override PartName="/xl/charts/colors56.xml" ContentType="application/vnd.ms-office.chartcolorstyle+xml"/>
  <Override PartName="/xl/charts/chart57.xml" ContentType="application/vnd.openxmlformats-officedocument.drawingml.chart+xml"/>
  <Override PartName="/xl/charts/style57.xml" ContentType="application/vnd.ms-office.chartstyle+xml"/>
  <Override PartName="/xl/charts/colors57.xml" ContentType="application/vnd.ms-office.chartcolorstyle+xml"/>
  <Override PartName="/xl/charts/chart58.xml" ContentType="application/vnd.openxmlformats-officedocument.drawingml.chart+xml"/>
  <Override PartName="/xl/charts/style58.xml" ContentType="application/vnd.ms-office.chartstyle+xml"/>
  <Override PartName="/xl/charts/colors58.xml" ContentType="application/vnd.ms-office.chartcolorstyle+xml"/>
  <Override PartName="/xl/drawings/drawing2.xml" ContentType="application/vnd.openxmlformats-officedocument.drawing+xml"/>
  <Override PartName="/xl/charts/chart59.xml" ContentType="application/vnd.openxmlformats-officedocument.drawingml.chart+xml"/>
  <Override PartName="/xl/charts/style59.xml" ContentType="application/vnd.ms-office.chartstyle+xml"/>
  <Override PartName="/xl/charts/colors59.xml" ContentType="application/vnd.ms-office.chartcolorstyle+xml"/>
  <Override PartName="/xl/charts/chart60.xml" ContentType="application/vnd.openxmlformats-officedocument.drawingml.chart+xml"/>
  <Override PartName="/xl/charts/style60.xml" ContentType="application/vnd.ms-office.chartstyle+xml"/>
  <Override PartName="/xl/charts/colors60.xml" ContentType="application/vnd.ms-office.chartcolorstyle+xml"/>
  <Override PartName="/xl/charts/chart61.xml" ContentType="application/vnd.openxmlformats-officedocument.drawingml.chart+xml"/>
  <Override PartName="/xl/charts/style61.xml" ContentType="application/vnd.ms-office.chartstyle+xml"/>
  <Override PartName="/xl/charts/colors61.xml" ContentType="application/vnd.ms-office.chartcolorstyle+xml"/>
  <Override PartName="/xl/charts/chart62.xml" ContentType="application/vnd.openxmlformats-officedocument.drawingml.chart+xml"/>
  <Override PartName="/xl/charts/style62.xml" ContentType="application/vnd.ms-office.chartstyle+xml"/>
  <Override PartName="/xl/charts/colors62.xml" ContentType="application/vnd.ms-office.chartcolorstyle+xml"/>
  <Override PartName="/xl/charts/chart63.xml" ContentType="application/vnd.openxmlformats-officedocument.drawingml.chart+xml"/>
  <Override PartName="/xl/charts/style63.xml" ContentType="application/vnd.ms-office.chartstyle+xml"/>
  <Override PartName="/xl/charts/colors63.xml" ContentType="application/vnd.ms-office.chartcolorstyle+xml"/>
  <Override PartName="/xl/charts/chart64.xml" ContentType="application/vnd.openxmlformats-officedocument.drawingml.chart+xml"/>
  <Override PartName="/xl/charts/style64.xml" ContentType="application/vnd.ms-office.chartstyle+xml"/>
  <Override PartName="/xl/charts/colors64.xml" ContentType="application/vnd.ms-office.chartcolorstyle+xml"/>
  <Override PartName="/xl/charts/chart65.xml" ContentType="application/vnd.openxmlformats-officedocument.drawingml.chart+xml"/>
  <Override PartName="/xl/charts/style65.xml" ContentType="application/vnd.ms-office.chartstyle+xml"/>
  <Override PartName="/xl/charts/colors65.xml" ContentType="application/vnd.ms-office.chartcolorstyle+xml"/>
  <Override PartName="/xl/charts/chart66.xml" ContentType="application/vnd.openxmlformats-officedocument.drawingml.chart+xml"/>
  <Override PartName="/xl/charts/style66.xml" ContentType="application/vnd.ms-office.chartstyle+xml"/>
  <Override PartName="/xl/charts/colors66.xml" ContentType="application/vnd.ms-office.chartcolorstyle+xml"/>
  <Override PartName="/xl/charts/chart67.xml" ContentType="application/vnd.openxmlformats-officedocument.drawingml.chart+xml"/>
  <Override PartName="/xl/charts/style67.xml" ContentType="application/vnd.ms-office.chartstyle+xml"/>
  <Override PartName="/xl/charts/colors67.xml" ContentType="application/vnd.ms-office.chartcolorstyle+xml"/>
  <Override PartName="/xl/charts/chart68.xml" ContentType="application/vnd.openxmlformats-officedocument.drawingml.chart+xml"/>
  <Override PartName="/xl/charts/style68.xml" ContentType="application/vnd.ms-office.chartstyle+xml"/>
  <Override PartName="/xl/charts/colors68.xml" ContentType="application/vnd.ms-office.chartcolorstyle+xml"/>
  <Override PartName="/xl/charts/chartEx1.xml" ContentType="application/vnd.ms-office.chartex+xml"/>
  <Override PartName="/xl/charts/style69.xml" ContentType="application/vnd.ms-office.chartstyle+xml"/>
  <Override PartName="/xl/charts/colors69.xml" ContentType="application/vnd.ms-office.chartcolorstyle+xml"/>
  <Override PartName="/xl/drawings/drawing3.xml" ContentType="application/vnd.openxmlformats-officedocument.drawing+xml"/>
  <Override PartName="/xl/charts/chart69.xml" ContentType="application/vnd.openxmlformats-officedocument.drawingml.chart+xml"/>
  <Override PartName="/xl/charts/style70.xml" ContentType="application/vnd.ms-office.chartstyle+xml"/>
  <Override PartName="/xl/charts/colors70.xml" ContentType="application/vnd.ms-office.chartcolorstyle+xml"/>
  <Override PartName="/xl/charts/chart70.xml" ContentType="application/vnd.openxmlformats-officedocument.drawingml.chart+xml"/>
  <Override PartName="/xl/charts/style71.xml" ContentType="application/vnd.ms-office.chartstyle+xml"/>
  <Override PartName="/xl/charts/colors71.xml" ContentType="application/vnd.ms-office.chartcolorstyle+xml"/>
  <Override PartName="/xl/charts/chart71.xml" ContentType="application/vnd.openxmlformats-officedocument.drawingml.chart+xml"/>
  <Override PartName="/xl/charts/style72.xml" ContentType="application/vnd.ms-office.chartstyle+xml"/>
  <Override PartName="/xl/charts/colors72.xml" ContentType="application/vnd.ms-office.chartcolorstyle+xml"/>
  <Override PartName="/xl/charts/chart72.xml" ContentType="application/vnd.openxmlformats-officedocument.drawingml.chart+xml"/>
  <Override PartName="/xl/charts/style73.xml" ContentType="application/vnd.ms-office.chartstyle+xml"/>
  <Override PartName="/xl/charts/colors73.xml" ContentType="application/vnd.ms-office.chartcolorstyle+xml"/>
  <Override PartName="/xl/charts/chart73.xml" ContentType="application/vnd.openxmlformats-officedocument.drawingml.chart+xml"/>
  <Override PartName="/xl/charts/style74.xml" ContentType="application/vnd.ms-office.chartstyle+xml"/>
  <Override PartName="/xl/charts/colors74.xml" ContentType="application/vnd.ms-office.chartcolorstyle+xml"/>
  <Override PartName="/xl/charts/chart74.xml" ContentType="application/vnd.openxmlformats-officedocument.drawingml.chart+xml"/>
  <Override PartName="/xl/charts/style75.xml" ContentType="application/vnd.ms-office.chartstyle+xml"/>
  <Override PartName="/xl/charts/colors75.xml" ContentType="application/vnd.ms-office.chartcolorstyle+xml"/>
  <Override PartName="/xl/charts/chart75.xml" ContentType="application/vnd.openxmlformats-officedocument.drawingml.chart+xml"/>
  <Override PartName="/xl/charts/style76.xml" ContentType="application/vnd.ms-office.chartstyle+xml"/>
  <Override PartName="/xl/charts/colors76.xml" ContentType="application/vnd.ms-office.chartcolorstyle+xml"/>
  <Override PartName="/xl/charts/chart76.xml" ContentType="application/vnd.openxmlformats-officedocument.drawingml.chart+xml"/>
  <Override PartName="/xl/charts/style77.xml" ContentType="application/vnd.ms-office.chartstyle+xml"/>
  <Override PartName="/xl/charts/colors77.xml" ContentType="application/vnd.ms-office.chartcolorstyle+xml"/>
  <Override PartName="/xl/charts/chart77.xml" ContentType="application/vnd.openxmlformats-officedocument.drawingml.chart+xml"/>
  <Override PartName="/xl/charts/style78.xml" ContentType="application/vnd.ms-office.chartstyle+xml"/>
  <Override PartName="/xl/charts/colors78.xml" ContentType="application/vnd.ms-office.chartcolorstyle+xml"/>
  <Override PartName="/xl/charts/chart78.xml" ContentType="application/vnd.openxmlformats-officedocument.drawingml.chart+xml"/>
  <Override PartName="/xl/charts/style79.xml" ContentType="application/vnd.ms-office.chartstyle+xml"/>
  <Override PartName="/xl/charts/colors79.xml" ContentType="application/vnd.ms-office.chartcolorstyle+xml"/>
  <Override PartName="/xl/charts/chart79.xml" ContentType="application/vnd.openxmlformats-officedocument.drawingml.chart+xml"/>
  <Override PartName="/xl/charts/style80.xml" ContentType="application/vnd.ms-office.chartstyle+xml"/>
  <Override PartName="/xl/charts/colors80.xml" ContentType="application/vnd.ms-office.chartcolorstyle+xml"/>
  <Override PartName="/xl/charts/chart80.xml" ContentType="application/vnd.openxmlformats-officedocument.drawingml.chart+xml"/>
  <Override PartName="/xl/charts/style81.xml" ContentType="application/vnd.ms-office.chartstyle+xml"/>
  <Override PartName="/xl/charts/colors81.xml" ContentType="application/vnd.ms-office.chartcolorstyle+xml"/>
  <Override PartName="/xl/charts/chart81.xml" ContentType="application/vnd.openxmlformats-officedocument.drawingml.chart+xml"/>
  <Override PartName="/xl/charts/style82.xml" ContentType="application/vnd.ms-office.chartstyle+xml"/>
  <Override PartName="/xl/charts/colors82.xml" ContentType="application/vnd.ms-office.chartcolorstyle+xml"/>
  <Override PartName="/xl/charts/chart82.xml" ContentType="application/vnd.openxmlformats-officedocument.drawingml.chart+xml"/>
  <Override PartName="/xl/charts/style83.xml" ContentType="application/vnd.ms-office.chartstyle+xml"/>
  <Override PartName="/xl/charts/colors83.xml" ContentType="application/vnd.ms-office.chartcolorstyle+xml"/>
  <Override PartName="/xl/charts/chart83.xml" ContentType="application/vnd.openxmlformats-officedocument.drawingml.chart+xml"/>
  <Override PartName="/xl/charts/style84.xml" ContentType="application/vnd.ms-office.chartstyle+xml"/>
  <Override PartName="/xl/charts/colors84.xml" ContentType="application/vnd.ms-office.chartcolorstyle+xml"/>
  <Override PartName="/xl/charts/chart84.xml" ContentType="application/vnd.openxmlformats-officedocument.drawingml.chart+xml"/>
  <Override PartName="/xl/charts/style85.xml" ContentType="application/vnd.ms-office.chartstyle+xml"/>
  <Override PartName="/xl/charts/colors85.xml" ContentType="application/vnd.ms-office.chartcolorstyle+xml"/>
  <Override PartName="/xl/charts/chart85.xml" ContentType="application/vnd.openxmlformats-officedocument.drawingml.chart+xml"/>
  <Override PartName="/xl/charts/style86.xml" ContentType="application/vnd.ms-office.chartstyle+xml"/>
  <Override PartName="/xl/charts/colors86.xml" ContentType="application/vnd.ms-office.chartcolorstyle+xml"/>
  <Override PartName="/xl/charts/chart86.xml" ContentType="application/vnd.openxmlformats-officedocument.drawingml.chart+xml"/>
  <Override PartName="/xl/charts/style87.xml" ContentType="application/vnd.ms-office.chartstyle+xml"/>
  <Override PartName="/xl/charts/colors87.xml" ContentType="application/vnd.ms-office.chartcolorstyle+xml"/>
  <Override PartName="/xl/charts/chart87.xml" ContentType="application/vnd.openxmlformats-officedocument.drawingml.chart+xml"/>
  <Override PartName="/xl/charts/style88.xml" ContentType="application/vnd.ms-office.chartstyle+xml"/>
  <Override PartName="/xl/charts/colors88.xml" ContentType="application/vnd.ms-office.chartcolorstyle+xml"/>
  <Override PartName="/xl/charts/chart88.xml" ContentType="application/vnd.openxmlformats-officedocument.drawingml.chart+xml"/>
  <Override PartName="/xl/charts/style89.xml" ContentType="application/vnd.ms-office.chartstyle+xml"/>
  <Override PartName="/xl/charts/colors8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vek\OneDrive\"/>
    </mc:Choice>
  </mc:AlternateContent>
  <bookViews>
    <workbookView xWindow="120" yWindow="15" windowWidth="18960" windowHeight="11325" tabRatio="893" activeTab="1"/>
  </bookViews>
  <sheets>
    <sheet name="Financials &gt;" sheetId="21" r:id="rId1"/>
    <sheet name="Historical Financial statements" sheetId="18" r:id="rId2"/>
    <sheet name="Trend Analysis" sheetId="10" r:id="rId3"/>
    <sheet name="Ratio Analysis" sheetId="19" r:id="rId4"/>
    <sheet name="Common Size Analysis" sheetId="13" r:id="rId5"/>
    <sheet name="Key Metrics Forecasting" sheetId="22" r:id="rId6"/>
    <sheet name="Financial Statement Forcasting" sheetId="17" r:id="rId7"/>
    <sheet name="DCF &gt;" sheetId="25" r:id="rId8"/>
    <sheet name="WACC" sheetId="23" r:id="rId9"/>
    <sheet name="Peer Comps Beta Calculations" sheetId="26" r:id="rId10"/>
    <sheet name="Rm" sheetId="28" r:id="rId11"/>
    <sheet name="Intrinsic Growth" sheetId="29" r:id="rId12"/>
    <sheet name="Valuation &amp;Sensitivity Analysis" sheetId="30" r:id="rId13"/>
    <sheet name="Charts &gt;" sheetId="27" r:id="rId14"/>
    <sheet name="Visualisations" sheetId="31" r:id="rId15"/>
    <sheet name="Charts on Ratio Analysis" sheetId="11" r:id="rId16"/>
    <sheet name="Data &gt;" sheetId="20" r:id="rId17"/>
    <sheet name="Income statement" sheetId="6" r:id="rId18"/>
    <sheet name="Comprehensive Income statement" sheetId="7" r:id="rId19"/>
    <sheet name="Balance sheet" sheetId="8" r:id="rId20"/>
    <sheet name="Cash flow statement" sheetId="9" r:id="rId21"/>
  </sheets>
  <definedNames>
    <definedName name="_xlchart.v1.0" hidden="1">'Cash flow statement'!$A$52</definedName>
    <definedName name="_xlchart.v1.1" hidden="1">'Cash flow statement'!$B$2:$K$2</definedName>
    <definedName name="_xlchart.v1.2" hidden="1">'Cash flow statement'!$B$52:$L$52</definedName>
  </definedNames>
  <calcPr calcId="162913"/>
</workbook>
</file>

<file path=xl/calcChain.xml><?xml version="1.0" encoding="utf-8"?>
<calcChain xmlns="http://schemas.openxmlformats.org/spreadsheetml/2006/main">
  <c r="B26" i="29" l="1"/>
  <c r="D185" i="11" l="1"/>
  <c r="E185" i="11"/>
  <c r="E186" i="11" s="1"/>
  <c r="F185" i="11"/>
  <c r="G185" i="11"/>
  <c r="G186" i="11" s="1"/>
  <c r="H185" i="11"/>
  <c r="I185" i="11"/>
  <c r="I186" i="11" s="1"/>
  <c r="J185" i="11"/>
  <c r="K185" i="11"/>
  <c r="K186" i="11" s="1"/>
  <c r="L185" i="11"/>
  <c r="M185" i="11"/>
  <c r="M186" i="11" s="1"/>
  <c r="C185" i="11"/>
  <c r="D182" i="11"/>
  <c r="E182" i="11"/>
  <c r="F182" i="11"/>
  <c r="G182" i="11"/>
  <c r="G183" i="11" s="1"/>
  <c r="H182" i="11"/>
  <c r="I182" i="11"/>
  <c r="J182" i="11"/>
  <c r="K182" i="11"/>
  <c r="K183" i="11" s="1"/>
  <c r="L182" i="11"/>
  <c r="M182" i="11"/>
  <c r="C182" i="11"/>
  <c r="D140" i="11"/>
  <c r="E140" i="11"/>
  <c r="F140" i="11"/>
  <c r="G140" i="11"/>
  <c r="H140" i="11"/>
  <c r="I140" i="11"/>
  <c r="J140" i="11"/>
  <c r="K140" i="11"/>
  <c r="L140" i="11"/>
  <c r="M140" i="11"/>
  <c r="C140" i="11"/>
  <c r="E95" i="11"/>
  <c r="F95" i="11"/>
  <c r="G95" i="11"/>
  <c r="H95" i="11"/>
  <c r="I95" i="11"/>
  <c r="J95" i="11"/>
  <c r="K95" i="11"/>
  <c r="L95" i="11"/>
  <c r="M95" i="11"/>
  <c r="D95" i="11"/>
  <c r="E92" i="11"/>
  <c r="F92" i="11"/>
  <c r="G92" i="11"/>
  <c r="H92" i="11"/>
  <c r="I92" i="11"/>
  <c r="J92" i="11"/>
  <c r="K92" i="11"/>
  <c r="L92" i="11"/>
  <c r="M92" i="11"/>
  <c r="D92" i="11"/>
  <c r="E137" i="11"/>
  <c r="F137" i="11"/>
  <c r="G137" i="11"/>
  <c r="H137" i="11"/>
  <c r="I137" i="11"/>
  <c r="J137" i="11"/>
  <c r="K137" i="11"/>
  <c r="L137" i="11"/>
  <c r="M137" i="11"/>
  <c r="D137" i="11"/>
  <c r="L52" i="9"/>
  <c r="C52" i="9"/>
  <c r="D52" i="9"/>
  <c r="E52" i="9"/>
  <c r="F52" i="9"/>
  <c r="G52" i="9"/>
  <c r="H52" i="9"/>
  <c r="I52" i="9"/>
  <c r="J52" i="9"/>
  <c r="K52" i="9"/>
  <c r="B52" i="9"/>
  <c r="H125" i="17"/>
  <c r="I127" i="17"/>
  <c r="J127" i="17" s="1"/>
  <c r="H127" i="17"/>
  <c r="H123" i="17"/>
  <c r="I123" i="17" s="1"/>
  <c r="H124" i="17"/>
  <c r="I124" i="17"/>
  <c r="H122" i="17"/>
  <c r="I122" i="17" s="1"/>
  <c r="I112" i="17"/>
  <c r="H113" i="17"/>
  <c r="H114" i="17"/>
  <c r="I114" i="17" s="1"/>
  <c r="J114" i="17" s="1"/>
  <c r="H115" i="17"/>
  <c r="I115" i="17" s="1"/>
  <c r="H111" i="17"/>
  <c r="I111" i="17" s="1"/>
  <c r="J111" i="17" s="1"/>
  <c r="H103" i="17"/>
  <c r="I103" i="17" s="1"/>
  <c r="H104" i="17"/>
  <c r="I104" i="17" s="1"/>
  <c r="H105" i="17"/>
  <c r="I105" i="17" s="1"/>
  <c r="H106" i="17"/>
  <c r="H107" i="17"/>
  <c r="I107" i="17" s="1"/>
  <c r="H108" i="17"/>
  <c r="I108" i="17" s="1"/>
  <c r="H102" i="17"/>
  <c r="I102" i="17" s="1"/>
  <c r="J102" i="17" s="1"/>
  <c r="H88" i="17"/>
  <c r="I88" i="17" s="1"/>
  <c r="J88" i="17" s="1"/>
  <c r="H89" i="17"/>
  <c r="I89" i="17" s="1"/>
  <c r="J89" i="17" s="1"/>
  <c r="H90" i="17"/>
  <c r="I90" i="17" s="1"/>
  <c r="H91" i="17"/>
  <c r="I91" i="17" s="1"/>
  <c r="J91" i="17" s="1"/>
  <c r="H92" i="17"/>
  <c r="I92" i="17" s="1"/>
  <c r="J92" i="17" s="1"/>
  <c r="H93" i="17"/>
  <c r="I93" i="17" s="1"/>
  <c r="J93" i="17" s="1"/>
  <c r="H94" i="17"/>
  <c r="I94" i="17" s="1"/>
  <c r="J94" i="17" s="1"/>
  <c r="H95" i="17"/>
  <c r="I95" i="17" s="1"/>
  <c r="J95" i="17" s="1"/>
  <c r="H74" i="17"/>
  <c r="H75" i="17"/>
  <c r="H77" i="17"/>
  <c r="I77" i="17" s="1"/>
  <c r="H78" i="17"/>
  <c r="I78" i="17" s="1"/>
  <c r="H79" i="17"/>
  <c r="H80" i="17"/>
  <c r="I80" i="17"/>
  <c r="H81" i="17"/>
  <c r="I81" i="17" s="1"/>
  <c r="H82" i="17"/>
  <c r="I82" i="17" s="1"/>
  <c r="H73" i="17"/>
  <c r="I73" i="17" s="1"/>
  <c r="H86" i="17"/>
  <c r="I86" i="17" s="1"/>
  <c r="J86" i="17" s="1"/>
  <c r="H85" i="17"/>
  <c r="H160" i="17"/>
  <c r="I160" i="17" s="1"/>
  <c r="L183" i="11" l="1"/>
  <c r="H183" i="11"/>
  <c r="M183" i="11"/>
  <c r="I183" i="11"/>
  <c r="F183" i="11"/>
  <c r="L186" i="11"/>
  <c r="H186" i="11"/>
  <c r="E183" i="11"/>
  <c r="J183" i="11"/>
  <c r="K141" i="11"/>
  <c r="G141" i="11"/>
  <c r="J186" i="11"/>
  <c r="F186" i="11"/>
  <c r="K96" i="11"/>
  <c r="K93" i="11"/>
  <c r="L93" i="11"/>
  <c r="H93" i="11"/>
  <c r="E96" i="11"/>
  <c r="F96" i="11"/>
  <c r="L141" i="11"/>
  <c r="H141" i="11"/>
  <c r="I138" i="11"/>
  <c r="M138" i="11"/>
  <c r="J96" i="11"/>
  <c r="M141" i="11"/>
  <c r="I141" i="11"/>
  <c r="K138" i="11"/>
  <c r="G138" i="11"/>
  <c r="J138" i="11"/>
  <c r="F138" i="11"/>
  <c r="E93" i="11"/>
  <c r="J93" i="11"/>
  <c r="F93" i="11"/>
  <c r="L96" i="11"/>
  <c r="H96" i="11"/>
  <c r="J141" i="11"/>
  <c r="F141" i="11"/>
  <c r="E138" i="11"/>
  <c r="G96" i="11"/>
  <c r="E141" i="11"/>
  <c r="L138" i="11"/>
  <c r="H138" i="11"/>
  <c r="G93" i="11"/>
  <c r="M96" i="11"/>
  <c r="I96" i="11"/>
  <c r="M93" i="11"/>
  <c r="I93" i="11"/>
  <c r="H87" i="17"/>
  <c r="H97" i="17" s="1"/>
  <c r="J124" i="17"/>
  <c r="J105" i="17"/>
  <c r="K105" i="17" s="1"/>
  <c r="J122" i="17"/>
  <c r="K122" i="17" s="1"/>
  <c r="L122" i="17" s="1"/>
  <c r="I126" i="17"/>
  <c r="I128" i="17" s="1"/>
  <c r="J160" i="17"/>
  <c r="I85" i="17"/>
  <c r="J85" i="17" s="1"/>
  <c r="J87" i="17" s="1"/>
  <c r="H126" i="17"/>
  <c r="H128" i="17" s="1"/>
  <c r="I106" i="17"/>
  <c r="J106" i="17" s="1"/>
  <c r="K106" i="17" s="1"/>
  <c r="L106" i="17" s="1"/>
  <c r="H110" i="17"/>
  <c r="J73" i="17"/>
  <c r="K73" i="17" s="1"/>
  <c r="H117" i="17"/>
  <c r="J80" i="17"/>
  <c r="K80" i="17" s="1"/>
  <c r="L80" i="17" s="1"/>
  <c r="K124" i="17"/>
  <c r="I74" i="17"/>
  <c r="J74" i="17" s="1"/>
  <c r="J112" i="17"/>
  <c r="K112" i="17" s="1"/>
  <c r="J125" i="17"/>
  <c r="K127" i="17"/>
  <c r="L127" i="17" s="1"/>
  <c r="J123" i="17"/>
  <c r="K123" i="17" s="1"/>
  <c r="I113" i="17"/>
  <c r="J115" i="17"/>
  <c r="K115" i="17" s="1"/>
  <c r="L115" i="17" s="1"/>
  <c r="K114" i="17"/>
  <c r="L114" i="17" s="1"/>
  <c r="K111" i="17"/>
  <c r="L111" i="17" s="1"/>
  <c r="J108" i="17"/>
  <c r="K108" i="17" s="1"/>
  <c r="L108" i="17" s="1"/>
  <c r="J104" i="17"/>
  <c r="K104" i="17" s="1"/>
  <c r="J107" i="17"/>
  <c r="J103" i="17"/>
  <c r="K103" i="17" s="1"/>
  <c r="K102" i="17"/>
  <c r="L102" i="17" s="1"/>
  <c r="K95" i="17"/>
  <c r="L95" i="17" s="1"/>
  <c r="K94" i="17"/>
  <c r="L94" i="17" s="1"/>
  <c r="K93" i="17"/>
  <c r="L93" i="17" s="1"/>
  <c r="K92" i="17"/>
  <c r="L92" i="17" s="1"/>
  <c r="K91" i="17"/>
  <c r="L91" i="17" s="1"/>
  <c r="K89" i="17"/>
  <c r="L89" i="17" s="1"/>
  <c r="K88" i="17"/>
  <c r="L88" i="17" s="1"/>
  <c r="K86" i="17"/>
  <c r="J82" i="17"/>
  <c r="K82" i="17" s="1"/>
  <c r="I79" i="17"/>
  <c r="J78" i="17"/>
  <c r="K78" i="17" s="1"/>
  <c r="I75" i="17"/>
  <c r="J81" i="17"/>
  <c r="K81" i="17" s="1"/>
  <c r="L81" i="17" s="1"/>
  <c r="J77" i="17"/>
  <c r="J97" i="17"/>
  <c r="D34" i="30"/>
  <c r="D35" i="30"/>
  <c r="G10" i="30"/>
  <c r="H10" i="30" s="1"/>
  <c r="I10" i="30" s="1"/>
  <c r="J10" i="30" s="1"/>
  <c r="I110" i="17" l="1"/>
  <c r="L124" i="17"/>
  <c r="H118" i="17"/>
  <c r="J126" i="17"/>
  <c r="J128" i="17" s="1"/>
  <c r="K74" i="17"/>
  <c r="L74" i="17" s="1"/>
  <c r="I87" i="17"/>
  <c r="I97" i="17" s="1"/>
  <c r="L105" i="17"/>
  <c r="K85" i="17"/>
  <c r="L85" i="17" s="1"/>
  <c r="K160" i="17"/>
  <c r="L160" i="17" s="1"/>
  <c r="L73" i="17"/>
  <c r="L86" i="17"/>
  <c r="K87" i="17"/>
  <c r="K97" i="17" s="1"/>
  <c r="L123" i="17"/>
  <c r="L82" i="17"/>
  <c r="K125" i="17"/>
  <c r="L125" i="17" s="1"/>
  <c r="L112" i="17"/>
  <c r="I117" i="17"/>
  <c r="I118" i="17" s="1"/>
  <c r="J113" i="17"/>
  <c r="J117" i="17" s="1"/>
  <c r="L104" i="17"/>
  <c r="L103" i="17"/>
  <c r="K107" i="17"/>
  <c r="L107" i="17" s="1"/>
  <c r="J110" i="17"/>
  <c r="K77" i="17"/>
  <c r="L77" i="17" s="1"/>
  <c r="L78" i="17"/>
  <c r="J75" i="17"/>
  <c r="J79" i="17"/>
  <c r="K79" i="17" s="1"/>
  <c r="L79" i="17" s="1"/>
  <c r="D7" i="30"/>
  <c r="D48" i="30"/>
  <c r="D46" i="30"/>
  <c r="D45" i="30"/>
  <c r="D29" i="30"/>
  <c r="E23" i="30" s="1"/>
  <c r="E19" i="30"/>
  <c r="F19" i="30" s="1"/>
  <c r="G19" i="30" s="1"/>
  <c r="H19" i="30" s="1"/>
  <c r="I19" i="30" s="1"/>
  <c r="F15" i="30"/>
  <c r="G15" i="30" s="1"/>
  <c r="H15" i="30" s="1"/>
  <c r="I15" i="30" s="1"/>
  <c r="J15" i="30" s="1"/>
  <c r="E13" i="30"/>
  <c r="F13" i="30" s="1"/>
  <c r="L87" i="17" l="1"/>
  <c r="L97" i="17" s="1"/>
  <c r="K126" i="17"/>
  <c r="K128" i="17" s="1"/>
  <c r="J118" i="17"/>
  <c r="K113" i="17"/>
  <c r="K117" i="17" s="1"/>
  <c r="L126" i="17"/>
  <c r="L128" i="17" s="1"/>
  <c r="L110" i="17"/>
  <c r="K110" i="17"/>
  <c r="K75" i="17"/>
  <c r="L75" i="17" s="1"/>
  <c r="G23" i="30"/>
  <c r="F23" i="30"/>
  <c r="H23" i="30"/>
  <c r="I23" i="30"/>
  <c r="J23" i="30"/>
  <c r="F17" i="30"/>
  <c r="F21" i="30" s="1"/>
  <c r="G13" i="30"/>
  <c r="H13" i="30" s="1"/>
  <c r="I13" i="30" s="1"/>
  <c r="E17" i="30"/>
  <c r="E21" i="30" s="1"/>
  <c r="E25" i="30" s="1"/>
  <c r="J44" i="29"/>
  <c r="I44" i="29"/>
  <c r="H44" i="29"/>
  <c r="G44" i="29"/>
  <c r="F44" i="29"/>
  <c r="G37" i="29"/>
  <c r="G47" i="29" s="1"/>
  <c r="G49" i="29" s="1"/>
  <c r="H37" i="29"/>
  <c r="H47" i="29" s="1"/>
  <c r="H49" i="29" s="1"/>
  <c r="I37" i="29"/>
  <c r="J37" i="29"/>
  <c r="J47" i="29" s="1"/>
  <c r="J49" i="29" s="1"/>
  <c r="F37" i="29"/>
  <c r="F47" i="29" s="1"/>
  <c r="F49" i="29" s="1"/>
  <c r="J23" i="29"/>
  <c r="I23" i="29"/>
  <c r="H23" i="29"/>
  <c r="G23" i="29"/>
  <c r="F23" i="29"/>
  <c r="G32" i="29"/>
  <c r="H32" i="29"/>
  <c r="I32" i="29"/>
  <c r="J32" i="29"/>
  <c r="G31" i="29"/>
  <c r="H31" i="29"/>
  <c r="I31" i="29"/>
  <c r="J31" i="29"/>
  <c r="G30" i="29"/>
  <c r="H30" i="29"/>
  <c r="I30" i="29"/>
  <c r="J30" i="29"/>
  <c r="G29" i="29"/>
  <c r="H29" i="29"/>
  <c r="I29" i="29"/>
  <c r="J29" i="29"/>
  <c r="G28" i="29"/>
  <c r="H28" i="29"/>
  <c r="I28" i="29"/>
  <c r="J28" i="29"/>
  <c r="G27" i="29"/>
  <c r="H27" i="29"/>
  <c r="I27" i="29"/>
  <c r="J27" i="29"/>
  <c r="G26" i="29"/>
  <c r="H26" i="29"/>
  <c r="I26" i="29"/>
  <c r="J26" i="29"/>
  <c r="G25" i="29"/>
  <c r="H25" i="29"/>
  <c r="I25" i="29"/>
  <c r="J25" i="29"/>
  <c r="G24" i="29"/>
  <c r="H24" i="29"/>
  <c r="I24" i="29"/>
  <c r="J24" i="29"/>
  <c r="F24" i="29"/>
  <c r="F25" i="29"/>
  <c r="F26" i="29"/>
  <c r="F27" i="29"/>
  <c r="F28" i="29"/>
  <c r="F29" i="29"/>
  <c r="F30" i="29"/>
  <c r="F31" i="29"/>
  <c r="F32" i="29"/>
  <c r="G22" i="29"/>
  <c r="H22" i="29"/>
  <c r="I22" i="29"/>
  <c r="J22" i="29"/>
  <c r="F22" i="29"/>
  <c r="B23" i="29"/>
  <c r="B24" i="29"/>
  <c r="B25" i="29"/>
  <c r="B27" i="29"/>
  <c r="B28" i="29"/>
  <c r="B29" i="29"/>
  <c r="B30" i="29"/>
  <c r="B31" i="29"/>
  <c r="B32" i="29"/>
  <c r="B22" i="29"/>
  <c r="G16" i="29"/>
  <c r="H16" i="29"/>
  <c r="I16" i="29"/>
  <c r="J16" i="29"/>
  <c r="F16" i="29"/>
  <c r="G15" i="29"/>
  <c r="H15" i="29"/>
  <c r="I15" i="29"/>
  <c r="J15" i="29"/>
  <c r="F15" i="29"/>
  <c r="G14" i="29"/>
  <c r="H14" i="29"/>
  <c r="I14" i="29"/>
  <c r="J14" i="29"/>
  <c r="F14" i="29"/>
  <c r="G10" i="29"/>
  <c r="H10" i="29"/>
  <c r="I10" i="29"/>
  <c r="J10" i="29"/>
  <c r="F10" i="29"/>
  <c r="G9" i="29"/>
  <c r="H9" i="29"/>
  <c r="I9" i="29"/>
  <c r="J9" i="29"/>
  <c r="F9" i="29"/>
  <c r="G8" i="29"/>
  <c r="H8" i="29"/>
  <c r="I8" i="29"/>
  <c r="J8" i="29"/>
  <c r="F8" i="29"/>
  <c r="N7" i="22" a="1"/>
  <c r="N8" i="22" s="1"/>
  <c r="M8" i="22"/>
  <c r="M9" i="22" s="1"/>
  <c r="M10" i="22" s="1"/>
  <c r="M11" i="22" s="1"/>
  <c r="M12" i="22" s="1"/>
  <c r="M13" i="22" s="1"/>
  <c r="M14" i="22" s="1"/>
  <c r="M15" i="22" s="1"/>
  <c r="M16" i="22" s="1"/>
  <c r="M17" i="22" s="1"/>
  <c r="M18" i="22" s="1"/>
  <c r="M19" i="22" s="1"/>
  <c r="M20" i="22" s="1"/>
  <c r="M21" i="22" s="1"/>
  <c r="L8" i="22"/>
  <c r="L9" i="22" s="1"/>
  <c r="L10" i="22" s="1"/>
  <c r="L11" i="22" s="1"/>
  <c r="L12" i="22" s="1"/>
  <c r="L13" i="22" s="1"/>
  <c r="L14" i="22" s="1"/>
  <c r="L15" i="22" s="1"/>
  <c r="L16" i="22" s="1"/>
  <c r="L17" i="22" s="1"/>
  <c r="L18" i="22" s="1"/>
  <c r="L19" i="22" s="1"/>
  <c r="L20" i="22" s="1"/>
  <c r="L21" i="22" s="1"/>
  <c r="D142" i="13"/>
  <c r="E142" i="13"/>
  <c r="F142" i="13"/>
  <c r="G142" i="13"/>
  <c r="H142" i="13"/>
  <c r="I142" i="13"/>
  <c r="J142" i="13"/>
  <c r="K142" i="13"/>
  <c r="L142" i="13"/>
  <c r="C142" i="13"/>
  <c r="K118" i="17" l="1"/>
  <c r="L113" i="17"/>
  <c r="L117" i="17" s="1"/>
  <c r="L118" i="17" s="1"/>
  <c r="F25" i="30"/>
  <c r="G17" i="30"/>
  <c r="G21" i="30" s="1"/>
  <c r="G25" i="30" s="1"/>
  <c r="H17" i="30"/>
  <c r="H21" i="30" s="1"/>
  <c r="H25" i="30" s="1"/>
  <c r="J13" i="30"/>
  <c r="J17" i="30" s="1"/>
  <c r="J21" i="30" s="1"/>
  <c r="I17" i="30"/>
  <c r="I21" i="30" s="1"/>
  <c r="I25" i="30" s="1"/>
  <c r="H34" i="29"/>
  <c r="J34" i="29"/>
  <c r="I34" i="29"/>
  <c r="F34" i="29"/>
  <c r="G34" i="29"/>
  <c r="I47" i="29"/>
  <c r="I49" i="29" s="1"/>
  <c r="I11" i="29"/>
  <c r="F11" i="29"/>
  <c r="G11" i="29"/>
  <c r="H11" i="29"/>
  <c r="G17" i="29"/>
  <c r="H17" i="29"/>
  <c r="I17" i="29"/>
  <c r="J11" i="29"/>
  <c r="F17" i="29"/>
  <c r="J17" i="29"/>
  <c r="N13" i="22"/>
  <c r="N9" i="22"/>
  <c r="O9" i="22" s="1"/>
  <c r="N15" i="22"/>
  <c r="N11" i="22"/>
  <c r="N7" i="22"/>
  <c r="N14" i="22"/>
  <c r="N10" i="22"/>
  <c r="O10" i="22" s="1"/>
  <c r="N16" i="22"/>
  <c r="N12" i="22"/>
  <c r="K23" i="23"/>
  <c r="H6" i="28"/>
  <c r="D7" i="28"/>
  <c r="D8" i="28"/>
  <c r="D9" i="28"/>
  <c r="D10" i="28"/>
  <c r="D11" i="28"/>
  <c r="D12" i="28"/>
  <c r="D13" i="28"/>
  <c r="D14" i="28"/>
  <c r="D15" i="28"/>
  <c r="D16" i="28"/>
  <c r="D17" i="28"/>
  <c r="D18" i="28"/>
  <c r="D19" i="28"/>
  <c r="D20" i="28"/>
  <c r="D21" i="28"/>
  <c r="D22" i="28"/>
  <c r="D23" i="28"/>
  <c r="D24" i="28"/>
  <c r="D25" i="28"/>
  <c r="D26" i="28"/>
  <c r="D27" i="28"/>
  <c r="D28" i="28"/>
  <c r="D29" i="28"/>
  <c r="D30" i="28"/>
  <c r="D31" i="28"/>
  <c r="D32" i="28"/>
  <c r="D33" i="28"/>
  <c r="D34" i="28"/>
  <c r="D35" i="28"/>
  <c r="D36" i="28"/>
  <c r="D37" i="28"/>
  <c r="D38" i="28"/>
  <c r="D39" i="28"/>
  <c r="D40" i="28"/>
  <c r="D41" i="28"/>
  <c r="D42" i="28"/>
  <c r="D43" i="28"/>
  <c r="D6" i="28"/>
  <c r="C32" i="23"/>
  <c r="C31" i="23"/>
  <c r="J10" i="23"/>
  <c r="J6" i="26"/>
  <c r="O15" i="22" l="1"/>
  <c r="O14" i="22"/>
  <c r="O16" i="22"/>
  <c r="O11" i="22"/>
  <c r="O12" i="22"/>
  <c r="N18" i="22"/>
  <c r="N17" i="22"/>
  <c r="O17" i="22" s="1"/>
  <c r="N20" i="22"/>
  <c r="O20" i="22" s="1"/>
  <c r="N21" i="22"/>
  <c r="N19" i="22"/>
  <c r="O13" i="22"/>
  <c r="O8" i="22"/>
  <c r="D33" i="30"/>
  <c r="D37" i="30" s="1"/>
  <c r="J25" i="30"/>
  <c r="D41" i="30" s="1"/>
  <c r="I19" i="29"/>
  <c r="F19" i="29"/>
  <c r="F36" i="29" s="1"/>
  <c r="F39" i="29" s="1"/>
  <c r="G19" i="29"/>
  <c r="H19" i="29"/>
  <c r="J19" i="29"/>
  <c r="G66" i="26"/>
  <c r="G65" i="26"/>
  <c r="G64" i="26"/>
  <c r="G63" i="26"/>
  <c r="G62" i="26"/>
  <c r="G61" i="26"/>
  <c r="G60" i="26"/>
  <c r="G59" i="26"/>
  <c r="G58" i="26"/>
  <c r="G57" i="26"/>
  <c r="G56" i="26"/>
  <c r="G55" i="26"/>
  <c r="G54" i="26"/>
  <c r="G53" i="26"/>
  <c r="G52" i="26"/>
  <c r="G51" i="26"/>
  <c r="G50" i="26"/>
  <c r="G49" i="26"/>
  <c r="G48" i="26"/>
  <c r="G47" i="26"/>
  <c r="G46" i="26"/>
  <c r="G45" i="26"/>
  <c r="G44" i="26"/>
  <c r="G43" i="26"/>
  <c r="G42" i="26"/>
  <c r="G41" i="26"/>
  <c r="G40" i="26"/>
  <c r="G39" i="26"/>
  <c r="G38" i="26"/>
  <c r="G37" i="26"/>
  <c r="G36" i="26"/>
  <c r="G35" i="26"/>
  <c r="G34" i="26"/>
  <c r="G33" i="26"/>
  <c r="G32" i="26"/>
  <c r="G31" i="26"/>
  <c r="G30" i="26"/>
  <c r="G29" i="26"/>
  <c r="G28" i="26"/>
  <c r="G27" i="26"/>
  <c r="G26" i="26"/>
  <c r="G25" i="26"/>
  <c r="G24" i="26"/>
  <c r="G23" i="26"/>
  <c r="G22" i="26"/>
  <c r="G21" i="26"/>
  <c r="G20" i="26"/>
  <c r="G19" i="26"/>
  <c r="G18" i="26"/>
  <c r="G17" i="26"/>
  <c r="G16" i="26"/>
  <c r="G15" i="26"/>
  <c r="G14" i="26"/>
  <c r="G13" i="26"/>
  <c r="G12" i="26"/>
  <c r="G11" i="26"/>
  <c r="G10" i="26"/>
  <c r="G9" i="26"/>
  <c r="G8" i="26"/>
  <c r="D9" i="26"/>
  <c r="D10" i="26"/>
  <c r="D11" i="26"/>
  <c r="D12" i="26"/>
  <c r="D13" i="26"/>
  <c r="D14" i="26"/>
  <c r="D15" i="26"/>
  <c r="D16" i="26"/>
  <c r="D17" i="26"/>
  <c r="D18" i="26"/>
  <c r="D19" i="26"/>
  <c r="D20" i="26"/>
  <c r="D21" i="26"/>
  <c r="D22" i="26"/>
  <c r="D23" i="26"/>
  <c r="D24" i="26"/>
  <c r="D25" i="26"/>
  <c r="D26" i="26"/>
  <c r="D27" i="26"/>
  <c r="D28" i="26"/>
  <c r="D29" i="26"/>
  <c r="D30" i="26"/>
  <c r="D31" i="26"/>
  <c r="D32" i="26"/>
  <c r="D33" i="26"/>
  <c r="D34" i="26"/>
  <c r="D35" i="26"/>
  <c r="D36" i="26"/>
  <c r="D37" i="26"/>
  <c r="D38" i="26"/>
  <c r="D39" i="26"/>
  <c r="D40" i="26"/>
  <c r="D41" i="26"/>
  <c r="D42" i="26"/>
  <c r="D43" i="26"/>
  <c r="D44" i="26"/>
  <c r="D45" i="26"/>
  <c r="D46" i="26"/>
  <c r="D47" i="26"/>
  <c r="D48" i="26"/>
  <c r="D49" i="26"/>
  <c r="D50" i="26"/>
  <c r="D51" i="26"/>
  <c r="D52" i="26"/>
  <c r="D53" i="26"/>
  <c r="D54" i="26"/>
  <c r="D55" i="26"/>
  <c r="D56" i="26"/>
  <c r="D57" i="26"/>
  <c r="D58" i="26"/>
  <c r="D59" i="26"/>
  <c r="D60" i="26"/>
  <c r="D61" i="26"/>
  <c r="D62" i="26"/>
  <c r="D63" i="26"/>
  <c r="D64" i="26"/>
  <c r="D65" i="26"/>
  <c r="D66" i="26"/>
  <c r="D8" i="26"/>
  <c r="K10" i="23"/>
  <c r="I10" i="23"/>
  <c r="H10" i="23"/>
  <c r="G17" i="23"/>
  <c r="G16" i="23"/>
  <c r="O19" i="22" l="1"/>
  <c r="O18" i="22"/>
  <c r="O21" i="22"/>
  <c r="D42" i="30"/>
  <c r="D43" i="30" s="1"/>
  <c r="F32" i="30" s="1"/>
  <c r="H45" i="29"/>
  <c r="H51" i="29" s="1"/>
  <c r="H53" i="29" s="1"/>
  <c r="H60" i="29" s="1"/>
  <c r="H36" i="29"/>
  <c r="H39" i="29" s="1"/>
  <c r="H61" i="29" s="1"/>
  <c r="G45" i="29"/>
  <c r="G51" i="29" s="1"/>
  <c r="G53" i="29" s="1"/>
  <c r="G60" i="29" s="1"/>
  <c r="G36" i="29"/>
  <c r="G39" i="29" s="1"/>
  <c r="G61" i="29" s="1"/>
  <c r="J45" i="29"/>
  <c r="J51" i="29" s="1"/>
  <c r="J53" i="29" s="1"/>
  <c r="J60" i="29" s="1"/>
  <c r="J36" i="29"/>
  <c r="J39" i="29" s="1"/>
  <c r="J61" i="29" s="1"/>
  <c r="I45" i="29"/>
  <c r="I51" i="29" s="1"/>
  <c r="I53" i="29" s="1"/>
  <c r="I60" i="29" s="1"/>
  <c r="I36" i="29"/>
  <c r="I39" i="29" s="1"/>
  <c r="I61" i="29" s="1"/>
  <c r="D209" i="17"/>
  <c r="E209" i="17"/>
  <c r="F209" i="17"/>
  <c r="G209" i="17"/>
  <c r="C209" i="17"/>
  <c r="D207" i="17"/>
  <c r="E207" i="17"/>
  <c r="F207" i="17"/>
  <c r="G207" i="17"/>
  <c r="E206" i="17"/>
  <c r="D205" i="17"/>
  <c r="E205" i="17"/>
  <c r="F205" i="17"/>
  <c r="G205" i="17"/>
  <c r="D204" i="17"/>
  <c r="E204" i="17"/>
  <c r="F204" i="17"/>
  <c r="G204" i="17"/>
  <c r="D202" i="17"/>
  <c r="E202" i="17"/>
  <c r="F202" i="17"/>
  <c r="G202" i="17"/>
  <c r="D201" i="17"/>
  <c r="E201" i="17"/>
  <c r="F201" i="17"/>
  <c r="G201" i="17"/>
  <c r="D200" i="17"/>
  <c r="E200" i="17"/>
  <c r="F200" i="17"/>
  <c r="G200" i="17"/>
  <c r="C201" i="17"/>
  <c r="C202" i="17"/>
  <c r="C203" i="17"/>
  <c r="C204" i="17"/>
  <c r="C205" i="17"/>
  <c r="C207" i="17"/>
  <c r="C200" i="17"/>
  <c r="G192" i="17"/>
  <c r="G193" i="17"/>
  <c r="G194" i="17"/>
  <c r="G195" i="17"/>
  <c r="G196" i="17"/>
  <c r="G197" i="17"/>
  <c r="G198" i="17"/>
  <c r="F192" i="17"/>
  <c r="F193" i="17"/>
  <c r="F194" i="17"/>
  <c r="F195" i="17"/>
  <c r="F196" i="17"/>
  <c r="F197" i="17"/>
  <c r="F198" i="17"/>
  <c r="E192" i="17"/>
  <c r="E193" i="17"/>
  <c r="E194" i="17"/>
  <c r="E195" i="17"/>
  <c r="E196" i="17"/>
  <c r="E197" i="17"/>
  <c r="E198" i="17"/>
  <c r="D192" i="17"/>
  <c r="D193" i="17"/>
  <c r="D194" i="17"/>
  <c r="D195" i="17"/>
  <c r="D196" i="17"/>
  <c r="D197" i="17"/>
  <c r="D198" i="17"/>
  <c r="D191" i="17"/>
  <c r="E191" i="17"/>
  <c r="F191" i="17"/>
  <c r="G191" i="17"/>
  <c r="C192" i="17"/>
  <c r="C193" i="17"/>
  <c r="C194" i="17"/>
  <c r="C195" i="17"/>
  <c r="C196" i="17"/>
  <c r="C197" i="17"/>
  <c r="C198" i="17"/>
  <c r="C191" i="17"/>
  <c r="G180" i="17"/>
  <c r="G181" i="17"/>
  <c r="G182" i="17"/>
  <c r="G183" i="17"/>
  <c r="G184" i="17"/>
  <c r="G185" i="17"/>
  <c r="G186" i="17"/>
  <c r="G187" i="17"/>
  <c r="G188" i="17"/>
  <c r="F180" i="17"/>
  <c r="F181" i="17"/>
  <c r="F182" i="17"/>
  <c r="F183" i="17"/>
  <c r="F184" i="17"/>
  <c r="F185" i="17"/>
  <c r="F186" i="17"/>
  <c r="F187" i="17"/>
  <c r="F188" i="17"/>
  <c r="E180" i="17"/>
  <c r="E181" i="17"/>
  <c r="E182" i="17"/>
  <c r="E183" i="17"/>
  <c r="E184" i="17"/>
  <c r="E185" i="17"/>
  <c r="E186" i="17"/>
  <c r="E187" i="17"/>
  <c r="E188" i="17"/>
  <c r="E179" i="17"/>
  <c r="F179" i="17"/>
  <c r="G179" i="17"/>
  <c r="D180" i="17"/>
  <c r="D181" i="17"/>
  <c r="D182" i="17"/>
  <c r="D183" i="17"/>
  <c r="D184" i="17"/>
  <c r="D185" i="17"/>
  <c r="D186" i="17"/>
  <c r="D187" i="17"/>
  <c r="D188" i="17"/>
  <c r="D179" i="17"/>
  <c r="C179" i="17"/>
  <c r="C180" i="17"/>
  <c r="C181" i="17"/>
  <c r="C182" i="17"/>
  <c r="C183" i="17"/>
  <c r="C184" i="17"/>
  <c r="C185" i="17"/>
  <c r="C186" i="17"/>
  <c r="C187" i="17"/>
  <c r="C188" i="17"/>
  <c r="H197" i="17" l="1"/>
  <c r="I197" i="17" s="1"/>
  <c r="J197" i="17" s="1"/>
  <c r="K197" i="17" s="1"/>
  <c r="L197" i="17" s="1"/>
  <c r="H205" i="17"/>
  <c r="I205" i="17" s="1"/>
  <c r="J205" i="17" s="1"/>
  <c r="K205" i="17" s="1"/>
  <c r="L205" i="17" s="1"/>
  <c r="H204" i="17"/>
  <c r="I204" i="17" s="1"/>
  <c r="J204" i="17" s="1"/>
  <c r="K204" i="17" s="1"/>
  <c r="L204" i="17" s="1"/>
  <c r="H200" i="17"/>
  <c r="I200" i="17" s="1"/>
  <c r="J200" i="17" s="1"/>
  <c r="K200" i="17" s="1"/>
  <c r="L200" i="17" s="1"/>
  <c r="H201" i="17"/>
  <c r="I201" i="17" s="1"/>
  <c r="J201" i="17" s="1"/>
  <c r="K201" i="17" s="1"/>
  <c r="L201" i="17" s="1"/>
  <c r="H207" i="17"/>
  <c r="I207" i="17" s="1"/>
  <c r="J207" i="17" s="1"/>
  <c r="K207" i="17" s="1"/>
  <c r="L207" i="17" s="1"/>
  <c r="H209" i="17"/>
  <c r="I209" i="17" s="1"/>
  <c r="J209" i="17" s="1"/>
  <c r="K209" i="17" s="1"/>
  <c r="L209" i="17" s="1"/>
  <c r="H202" i="17"/>
  <c r="I202" i="17" s="1"/>
  <c r="J202" i="17" s="1"/>
  <c r="K202" i="17" s="1"/>
  <c r="L202" i="17" s="1"/>
  <c r="D47" i="30"/>
  <c r="D50" i="30" s="1"/>
  <c r="D6" i="30" s="1"/>
  <c r="J63" i="29"/>
  <c r="H63" i="29"/>
  <c r="G63" i="29"/>
  <c r="I63" i="29"/>
  <c r="J56" i="29"/>
  <c r="J55" i="29"/>
  <c r="H181" i="17"/>
  <c r="I181" i="17" s="1"/>
  <c r="J181" i="17" s="1"/>
  <c r="K181" i="17" s="1"/>
  <c r="L181" i="17" s="1"/>
  <c r="H185" i="17"/>
  <c r="I185" i="17" s="1"/>
  <c r="J185" i="17" s="1"/>
  <c r="K185" i="17" s="1"/>
  <c r="L185" i="17" s="1"/>
  <c r="H184" i="17"/>
  <c r="I184" i="17" s="1"/>
  <c r="J184" i="17" s="1"/>
  <c r="K184" i="17" s="1"/>
  <c r="L184" i="17" s="1"/>
  <c r="H187" i="17"/>
  <c r="I187" i="17" s="1"/>
  <c r="J187" i="17" s="1"/>
  <c r="K187" i="17" s="1"/>
  <c r="L187" i="17" s="1"/>
  <c r="H183" i="17"/>
  <c r="I183" i="17" s="1"/>
  <c r="J183" i="17" s="1"/>
  <c r="K183" i="17" s="1"/>
  <c r="L183" i="17" s="1"/>
  <c r="H186" i="17"/>
  <c r="I186" i="17" s="1"/>
  <c r="J186" i="17" s="1"/>
  <c r="K186" i="17" s="1"/>
  <c r="L186" i="17" s="1"/>
  <c r="H182" i="17"/>
  <c r="I182" i="17" s="1"/>
  <c r="J182" i="17" s="1"/>
  <c r="K182" i="17" s="1"/>
  <c r="L182" i="17" s="1"/>
  <c r="H196" i="17"/>
  <c r="I196" i="17" s="1"/>
  <c r="J196" i="17" s="1"/>
  <c r="K196" i="17" s="1"/>
  <c r="L196" i="17" s="1"/>
  <c r="H188" i="17"/>
  <c r="I188" i="17" s="1"/>
  <c r="J188" i="17" s="1"/>
  <c r="K188" i="17" s="1"/>
  <c r="L188" i="17" s="1"/>
  <c r="H180" i="17"/>
  <c r="I180" i="17" s="1"/>
  <c r="J180" i="17" s="1"/>
  <c r="K180" i="17" s="1"/>
  <c r="L180" i="17" s="1"/>
  <c r="H179" i="17"/>
  <c r="I179" i="17" s="1"/>
  <c r="J179" i="17" s="1"/>
  <c r="K179" i="17" s="1"/>
  <c r="L179" i="17" s="1"/>
  <c r="H198" i="17"/>
  <c r="I198" i="17" s="1"/>
  <c r="J198" i="17" s="1"/>
  <c r="K198" i="17" s="1"/>
  <c r="L198" i="17" s="1"/>
  <c r="H194" i="17"/>
  <c r="I194" i="17" s="1"/>
  <c r="J194" i="17" s="1"/>
  <c r="K194" i="17" s="1"/>
  <c r="L194" i="17" s="1"/>
  <c r="H193" i="17"/>
  <c r="I193" i="17" s="1"/>
  <c r="J193" i="17" s="1"/>
  <c r="K193" i="17" s="1"/>
  <c r="L193" i="17" s="1"/>
  <c r="H191" i="17"/>
  <c r="I191" i="17" s="1"/>
  <c r="J191" i="17" s="1"/>
  <c r="K191" i="17" s="1"/>
  <c r="L191" i="17" s="1"/>
  <c r="H192" i="17"/>
  <c r="I192" i="17" s="1"/>
  <c r="J192" i="17" s="1"/>
  <c r="K192" i="17" s="1"/>
  <c r="L192" i="17" s="1"/>
  <c r="H195" i="17"/>
  <c r="I195" i="17" s="1"/>
  <c r="J195" i="17" s="1"/>
  <c r="K195" i="17" s="1"/>
  <c r="L195" i="17" s="1"/>
  <c r="D53" i="30" l="1"/>
  <c r="J6" i="30" s="1"/>
  <c r="J7" i="30"/>
  <c r="J65" i="29"/>
  <c r="J66" i="29"/>
  <c r="J274" i="26" l="1"/>
  <c r="J14" i="23" s="1"/>
  <c r="G277" i="26"/>
  <c r="G278" i="26"/>
  <c r="G279" i="26"/>
  <c r="G280" i="26"/>
  <c r="G281" i="26"/>
  <c r="G282" i="26"/>
  <c r="G283" i="26"/>
  <c r="G284" i="26"/>
  <c r="G285" i="26"/>
  <c r="G286" i="26"/>
  <c r="G287" i="26"/>
  <c r="G288" i="26"/>
  <c r="G289" i="26"/>
  <c r="G290" i="26"/>
  <c r="G291" i="26"/>
  <c r="G292" i="26"/>
  <c r="G293" i="26"/>
  <c r="G294" i="26"/>
  <c r="G295" i="26"/>
  <c r="G296" i="26"/>
  <c r="G297" i="26"/>
  <c r="G298" i="26"/>
  <c r="G299" i="26"/>
  <c r="G300" i="26"/>
  <c r="G301" i="26"/>
  <c r="G302" i="26"/>
  <c r="G303" i="26"/>
  <c r="G304" i="26"/>
  <c r="G305" i="26"/>
  <c r="G306" i="26"/>
  <c r="G307" i="26"/>
  <c r="G308" i="26"/>
  <c r="G309" i="26"/>
  <c r="G310" i="26"/>
  <c r="G311" i="26"/>
  <c r="G312" i="26"/>
  <c r="G313" i="26"/>
  <c r="G314" i="26"/>
  <c r="G315" i="26"/>
  <c r="G316" i="26"/>
  <c r="G317" i="26"/>
  <c r="G318" i="26"/>
  <c r="G319" i="26"/>
  <c r="G320" i="26"/>
  <c r="G321" i="26"/>
  <c r="G322" i="26"/>
  <c r="G323" i="26"/>
  <c r="G324" i="26"/>
  <c r="G325" i="26"/>
  <c r="G326" i="26"/>
  <c r="G327" i="26"/>
  <c r="G328" i="26"/>
  <c r="G329" i="26"/>
  <c r="G330" i="26"/>
  <c r="G331" i="26"/>
  <c r="G332" i="26"/>
  <c r="G333" i="26"/>
  <c r="G334" i="26"/>
  <c r="G276" i="26"/>
  <c r="D277" i="26"/>
  <c r="D278" i="26"/>
  <c r="D279" i="26"/>
  <c r="D280" i="26"/>
  <c r="D281" i="26"/>
  <c r="D282" i="26"/>
  <c r="D283" i="26"/>
  <c r="D284" i="26"/>
  <c r="D285" i="26"/>
  <c r="D286" i="26"/>
  <c r="D287" i="26"/>
  <c r="D288" i="26"/>
  <c r="D289" i="26"/>
  <c r="D290" i="26"/>
  <c r="D291" i="26"/>
  <c r="D292" i="26"/>
  <c r="D293" i="26"/>
  <c r="D294" i="26"/>
  <c r="D295" i="26"/>
  <c r="D296" i="26"/>
  <c r="D297" i="26"/>
  <c r="D298" i="26"/>
  <c r="D299" i="26"/>
  <c r="D300" i="26"/>
  <c r="D301" i="26"/>
  <c r="D302" i="26"/>
  <c r="D303" i="26"/>
  <c r="D304" i="26"/>
  <c r="D305" i="26"/>
  <c r="D306" i="26"/>
  <c r="D307" i="26"/>
  <c r="D308" i="26"/>
  <c r="D309" i="26"/>
  <c r="D310" i="26"/>
  <c r="D311" i="26"/>
  <c r="D312" i="26"/>
  <c r="D313" i="26"/>
  <c r="D314" i="26"/>
  <c r="D315" i="26"/>
  <c r="D316" i="26"/>
  <c r="D317" i="26"/>
  <c r="D318" i="26"/>
  <c r="D319" i="26"/>
  <c r="D320" i="26"/>
  <c r="D321" i="26"/>
  <c r="D322" i="26"/>
  <c r="D323" i="26"/>
  <c r="D324" i="26"/>
  <c r="D325" i="26"/>
  <c r="D326" i="26"/>
  <c r="D327" i="26"/>
  <c r="D328" i="26"/>
  <c r="D329" i="26"/>
  <c r="D330" i="26"/>
  <c r="D331" i="26"/>
  <c r="D332" i="26"/>
  <c r="D333" i="26"/>
  <c r="D334" i="26"/>
  <c r="D276" i="26"/>
  <c r="J207" i="26"/>
  <c r="J13" i="23" s="1"/>
  <c r="G210" i="26"/>
  <c r="G211" i="26"/>
  <c r="G212" i="26"/>
  <c r="G213" i="26"/>
  <c r="G214" i="26"/>
  <c r="G215" i="26"/>
  <c r="G216" i="26"/>
  <c r="G217" i="26"/>
  <c r="G218" i="26"/>
  <c r="G219" i="26"/>
  <c r="G220" i="26"/>
  <c r="G221" i="26"/>
  <c r="G222" i="26"/>
  <c r="G223" i="26"/>
  <c r="G224" i="26"/>
  <c r="G225" i="26"/>
  <c r="G226" i="26"/>
  <c r="G227" i="26"/>
  <c r="G228" i="26"/>
  <c r="G229" i="26"/>
  <c r="G230" i="26"/>
  <c r="G231" i="26"/>
  <c r="G232" i="26"/>
  <c r="G233" i="26"/>
  <c r="G234" i="26"/>
  <c r="G235" i="26"/>
  <c r="G236" i="26"/>
  <c r="G237" i="26"/>
  <c r="G238" i="26"/>
  <c r="G239" i="26"/>
  <c r="G240" i="26"/>
  <c r="G241" i="26"/>
  <c r="G242" i="26"/>
  <c r="G243" i="26"/>
  <c r="G244" i="26"/>
  <c r="G245" i="26"/>
  <c r="G246" i="26"/>
  <c r="G247" i="26"/>
  <c r="G248" i="26"/>
  <c r="G249" i="26"/>
  <c r="G250" i="26"/>
  <c r="G251" i="26"/>
  <c r="G252" i="26"/>
  <c r="G253" i="26"/>
  <c r="G254" i="26"/>
  <c r="G255" i="26"/>
  <c r="G256" i="26"/>
  <c r="G257" i="26"/>
  <c r="G258" i="26"/>
  <c r="G259" i="26"/>
  <c r="G260" i="26"/>
  <c r="G261" i="26"/>
  <c r="G262" i="26"/>
  <c r="G263" i="26"/>
  <c r="G264" i="26"/>
  <c r="G265" i="26"/>
  <c r="G266" i="26"/>
  <c r="G267" i="26"/>
  <c r="G209" i="26"/>
  <c r="D210" i="26"/>
  <c r="D211" i="26"/>
  <c r="D212" i="26"/>
  <c r="D213" i="26"/>
  <c r="D214" i="26"/>
  <c r="D215" i="26"/>
  <c r="D216" i="26"/>
  <c r="D217" i="26"/>
  <c r="D218" i="26"/>
  <c r="D219" i="26"/>
  <c r="D220" i="26"/>
  <c r="D221" i="26"/>
  <c r="D222" i="26"/>
  <c r="D223" i="26"/>
  <c r="D224" i="26"/>
  <c r="D225" i="26"/>
  <c r="D226" i="26"/>
  <c r="D227" i="26"/>
  <c r="D228" i="26"/>
  <c r="D229" i="26"/>
  <c r="D230" i="26"/>
  <c r="D231" i="26"/>
  <c r="D232" i="26"/>
  <c r="D233" i="26"/>
  <c r="D234" i="26"/>
  <c r="D235" i="26"/>
  <c r="D236" i="26"/>
  <c r="D237" i="26"/>
  <c r="D238" i="26"/>
  <c r="D239" i="26"/>
  <c r="D240" i="26"/>
  <c r="D241" i="26"/>
  <c r="D242" i="26"/>
  <c r="D243" i="26"/>
  <c r="D244" i="26"/>
  <c r="D245" i="26"/>
  <c r="D246" i="26"/>
  <c r="D247" i="26"/>
  <c r="D248" i="26"/>
  <c r="D249" i="26"/>
  <c r="D250" i="26"/>
  <c r="D251" i="26"/>
  <c r="D252" i="26"/>
  <c r="D253" i="26"/>
  <c r="D254" i="26"/>
  <c r="D255" i="26"/>
  <c r="D256" i="26"/>
  <c r="D257" i="26"/>
  <c r="D258" i="26"/>
  <c r="D259" i="26"/>
  <c r="D260" i="26"/>
  <c r="D261" i="26"/>
  <c r="D262" i="26"/>
  <c r="D263" i="26"/>
  <c r="D264" i="26"/>
  <c r="D265" i="26"/>
  <c r="D266" i="26"/>
  <c r="D267" i="26"/>
  <c r="D209" i="26"/>
  <c r="J140" i="26"/>
  <c r="J12" i="23" s="1"/>
  <c r="G143" i="26"/>
  <c r="G144" i="26"/>
  <c r="G145" i="26"/>
  <c r="G146" i="26"/>
  <c r="G147" i="26"/>
  <c r="G148" i="26"/>
  <c r="G149" i="26"/>
  <c r="G150" i="26"/>
  <c r="G151" i="26"/>
  <c r="G152" i="26"/>
  <c r="G153" i="26"/>
  <c r="G154" i="26"/>
  <c r="G155" i="26"/>
  <c r="G156" i="26"/>
  <c r="G157" i="26"/>
  <c r="G158" i="26"/>
  <c r="G159" i="26"/>
  <c r="G160" i="26"/>
  <c r="G161" i="26"/>
  <c r="G162" i="26"/>
  <c r="G163" i="26"/>
  <c r="G164" i="26"/>
  <c r="G165" i="26"/>
  <c r="G166" i="26"/>
  <c r="G167" i="26"/>
  <c r="G168" i="26"/>
  <c r="G169" i="26"/>
  <c r="G170" i="26"/>
  <c r="G171" i="26"/>
  <c r="G172" i="26"/>
  <c r="G173" i="26"/>
  <c r="G174" i="26"/>
  <c r="G175" i="26"/>
  <c r="G176" i="26"/>
  <c r="G177" i="26"/>
  <c r="G178" i="26"/>
  <c r="G179" i="26"/>
  <c r="G180" i="26"/>
  <c r="G181" i="26"/>
  <c r="G182" i="26"/>
  <c r="G183" i="26"/>
  <c r="G184" i="26"/>
  <c r="G185" i="26"/>
  <c r="G186" i="26"/>
  <c r="G187" i="26"/>
  <c r="G188" i="26"/>
  <c r="G189" i="26"/>
  <c r="G190" i="26"/>
  <c r="G191" i="26"/>
  <c r="G192" i="26"/>
  <c r="G193" i="26"/>
  <c r="G194" i="26"/>
  <c r="G195" i="26"/>
  <c r="G196" i="26"/>
  <c r="G197" i="26"/>
  <c r="G198" i="26"/>
  <c r="G199" i="26"/>
  <c r="G200" i="26"/>
  <c r="G142" i="26"/>
  <c r="D143" i="26"/>
  <c r="D144" i="26"/>
  <c r="D145" i="26"/>
  <c r="D146" i="26"/>
  <c r="D147" i="26"/>
  <c r="D148" i="26"/>
  <c r="D149" i="26"/>
  <c r="D150" i="26"/>
  <c r="D151" i="26"/>
  <c r="D152" i="26"/>
  <c r="D153" i="26"/>
  <c r="D154" i="26"/>
  <c r="D155" i="26"/>
  <c r="D156" i="26"/>
  <c r="D157" i="26"/>
  <c r="D158" i="26"/>
  <c r="D159" i="26"/>
  <c r="D160" i="26"/>
  <c r="D161" i="26"/>
  <c r="D162" i="26"/>
  <c r="D163" i="26"/>
  <c r="D164" i="26"/>
  <c r="D165" i="26"/>
  <c r="D166" i="26"/>
  <c r="D167" i="26"/>
  <c r="D168" i="26"/>
  <c r="D169" i="26"/>
  <c r="D170" i="26"/>
  <c r="D171" i="26"/>
  <c r="D172" i="26"/>
  <c r="D173" i="26"/>
  <c r="D174" i="26"/>
  <c r="D175" i="26"/>
  <c r="D176" i="26"/>
  <c r="D177" i="26"/>
  <c r="D178" i="26"/>
  <c r="D179" i="26"/>
  <c r="D180" i="26"/>
  <c r="D181" i="26"/>
  <c r="D182" i="26"/>
  <c r="D183" i="26"/>
  <c r="D184" i="26"/>
  <c r="D185" i="26"/>
  <c r="D186" i="26"/>
  <c r="D187" i="26"/>
  <c r="D188" i="26"/>
  <c r="D189" i="26"/>
  <c r="D190" i="26"/>
  <c r="D191" i="26"/>
  <c r="D192" i="26"/>
  <c r="D193" i="26"/>
  <c r="D194" i="26"/>
  <c r="D195" i="26"/>
  <c r="D196" i="26"/>
  <c r="D197" i="26"/>
  <c r="D198" i="26"/>
  <c r="D199" i="26"/>
  <c r="D200" i="26"/>
  <c r="D142" i="26"/>
  <c r="J73" i="26"/>
  <c r="J11" i="23" s="1"/>
  <c r="J16" i="23" l="1"/>
  <c r="J17" i="23"/>
  <c r="G76" i="26"/>
  <c r="G77" i="26"/>
  <c r="G78" i="26"/>
  <c r="G79" i="26"/>
  <c r="G80" i="26"/>
  <c r="G81" i="26"/>
  <c r="G82" i="26"/>
  <c r="G83" i="26"/>
  <c r="G84" i="26"/>
  <c r="G85" i="26"/>
  <c r="G86" i="26"/>
  <c r="G87" i="26"/>
  <c r="G88" i="26"/>
  <c r="G89" i="26"/>
  <c r="G90" i="26"/>
  <c r="G91" i="26"/>
  <c r="G92" i="26"/>
  <c r="G93" i="26"/>
  <c r="G94" i="26"/>
  <c r="G95" i="26"/>
  <c r="G96" i="26"/>
  <c r="G97" i="26"/>
  <c r="G98" i="26"/>
  <c r="G99" i="26"/>
  <c r="G100" i="26"/>
  <c r="G101" i="26"/>
  <c r="G102" i="26"/>
  <c r="G103" i="26"/>
  <c r="G104" i="26"/>
  <c r="G105" i="26"/>
  <c r="G106" i="26"/>
  <c r="G107" i="26"/>
  <c r="G108" i="26"/>
  <c r="G109" i="26"/>
  <c r="G110" i="26"/>
  <c r="G111" i="26"/>
  <c r="G112" i="26"/>
  <c r="G113" i="26"/>
  <c r="G114" i="26"/>
  <c r="G115" i="26"/>
  <c r="G116" i="26"/>
  <c r="G117" i="26"/>
  <c r="G118" i="26"/>
  <c r="G119" i="26"/>
  <c r="G120" i="26"/>
  <c r="G121" i="26"/>
  <c r="G122" i="26"/>
  <c r="G123" i="26"/>
  <c r="G124" i="26"/>
  <c r="G125" i="26"/>
  <c r="G126" i="26"/>
  <c r="G127" i="26"/>
  <c r="G128" i="26"/>
  <c r="G129" i="26"/>
  <c r="G130" i="26"/>
  <c r="G131" i="26"/>
  <c r="G132" i="26"/>
  <c r="G133" i="26"/>
  <c r="G75" i="26"/>
  <c r="D76" i="26"/>
  <c r="D77" i="26"/>
  <c r="D78" i="26"/>
  <c r="D79" i="26"/>
  <c r="D80" i="26"/>
  <c r="D81" i="26"/>
  <c r="D82" i="26"/>
  <c r="D83" i="26"/>
  <c r="D84" i="26"/>
  <c r="D85" i="26"/>
  <c r="D86" i="26"/>
  <c r="D87" i="26"/>
  <c r="D88" i="26"/>
  <c r="D89" i="26"/>
  <c r="D90" i="26"/>
  <c r="D91" i="26"/>
  <c r="D92" i="26"/>
  <c r="D93" i="26"/>
  <c r="D94" i="26"/>
  <c r="D95" i="26"/>
  <c r="D96" i="26"/>
  <c r="D97" i="26"/>
  <c r="D98" i="26"/>
  <c r="D99" i="26"/>
  <c r="D100" i="26"/>
  <c r="D101" i="26"/>
  <c r="D102" i="26"/>
  <c r="D103" i="26"/>
  <c r="D104" i="26"/>
  <c r="D105" i="26"/>
  <c r="D106" i="26"/>
  <c r="D107" i="26"/>
  <c r="D108" i="26"/>
  <c r="D109" i="26"/>
  <c r="D110" i="26"/>
  <c r="D111" i="26"/>
  <c r="D112" i="26"/>
  <c r="D113" i="26"/>
  <c r="D114" i="26"/>
  <c r="D115" i="26"/>
  <c r="D116" i="26"/>
  <c r="D117" i="26"/>
  <c r="D118" i="26"/>
  <c r="D119" i="26"/>
  <c r="D120" i="26"/>
  <c r="D121" i="26"/>
  <c r="D122" i="26"/>
  <c r="D123" i="26"/>
  <c r="D124" i="26"/>
  <c r="D125" i="26"/>
  <c r="D126" i="26"/>
  <c r="D127" i="26"/>
  <c r="D128" i="26"/>
  <c r="D129" i="26"/>
  <c r="D130" i="26"/>
  <c r="D131" i="26"/>
  <c r="D132" i="26"/>
  <c r="D133" i="26"/>
  <c r="D75" i="26"/>
  <c r="C33" i="23"/>
  <c r="D32" i="23" s="1"/>
  <c r="E23" i="23"/>
  <c r="K32" i="23" s="1"/>
  <c r="I12" i="23"/>
  <c r="I13" i="23"/>
  <c r="I14" i="23"/>
  <c r="I11" i="23"/>
  <c r="H12" i="23"/>
  <c r="K12" i="23" s="1"/>
  <c r="H13" i="23"/>
  <c r="K13" i="23" s="1"/>
  <c r="H14" i="23"/>
  <c r="K14" i="23" s="1"/>
  <c r="H11" i="23"/>
  <c r="U7" i="22" a="1"/>
  <c r="U7" i="22" s="1"/>
  <c r="S7" i="22" a="1"/>
  <c r="S8" i="22" s="1"/>
  <c r="R10" i="22"/>
  <c r="R11" i="22" s="1"/>
  <c r="R12" i="22" s="1"/>
  <c r="R13" i="22" s="1"/>
  <c r="R14" i="22" s="1"/>
  <c r="R15" i="22" s="1"/>
  <c r="R16" i="22" s="1"/>
  <c r="R17" i="22" s="1"/>
  <c r="R18" i="22" s="1"/>
  <c r="R19" i="22" s="1"/>
  <c r="R20" i="22" s="1"/>
  <c r="R21" i="22" s="1"/>
  <c r="R9" i="22"/>
  <c r="Q9" i="22"/>
  <c r="Q10" i="22" s="1"/>
  <c r="Q11" i="22" s="1"/>
  <c r="Q12" i="22" s="1"/>
  <c r="Q13" i="22" s="1"/>
  <c r="Q14" i="22" s="1"/>
  <c r="Q15" i="22" s="1"/>
  <c r="Q16" i="22" s="1"/>
  <c r="Q17" i="22" s="1"/>
  <c r="R8" i="22"/>
  <c r="Q8" i="22"/>
  <c r="I7" i="22" a="1"/>
  <c r="I8" i="22" s="1"/>
  <c r="H10" i="22"/>
  <c r="H11" i="22" s="1"/>
  <c r="H12" i="22" s="1"/>
  <c r="H13" i="22" s="1"/>
  <c r="H14" i="22" s="1"/>
  <c r="H15" i="22" s="1"/>
  <c r="H16" i="22" s="1"/>
  <c r="H17" i="22" s="1"/>
  <c r="H18" i="22" s="1"/>
  <c r="H19" i="22" s="1"/>
  <c r="H20" i="22" s="1"/>
  <c r="H21" i="22" s="1"/>
  <c r="H9" i="22"/>
  <c r="G9" i="22"/>
  <c r="G10" i="22" s="1"/>
  <c r="G11" i="22" s="1"/>
  <c r="G12" i="22" s="1"/>
  <c r="G13" i="22" s="1"/>
  <c r="G14" i="22" s="1"/>
  <c r="G15" i="22" s="1"/>
  <c r="G16" i="22" s="1"/>
  <c r="G17" i="22" s="1"/>
  <c r="H8" i="22"/>
  <c r="G8" i="22"/>
  <c r="C17" i="22"/>
  <c r="C18" i="22"/>
  <c r="C19" i="22"/>
  <c r="C20" i="22"/>
  <c r="C21" i="22" s="1"/>
  <c r="C9" i="22"/>
  <c r="C10" i="22" s="1"/>
  <c r="C11" i="22" s="1"/>
  <c r="C12" i="22" s="1"/>
  <c r="C8" i="22"/>
  <c r="B9" i="22"/>
  <c r="B10" i="22" s="1"/>
  <c r="B11" i="22" s="1"/>
  <c r="B12" i="22" s="1"/>
  <c r="B13" i="22" s="1"/>
  <c r="B14" i="22" s="1"/>
  <c r="B15" i="22" s="1"/>
  <c r="B16" i="22" s="1"/>
  <c r="B17" i="22" s="1"/>
  <c r="B18" i="22" s="1"/>
  <c r="B19" i="22" s="1"/>
  <c r="B20" i="22" s="1"/>
  <c r="B21" i="22" s="1"/>
  <c r="B8" i="22"/>
  <c r="D7" i="22" a="1"/>
  <c r="D7" i="22" s="1"/>
  <c r="I14" i="22" l="1"/>
  <c r="I11" i="22"/>
  <c r="I15" i="22"/>
  <c r="I7" i="22"/>
  <c r="J8" i="22" s="1"/>
  <c r="I10" i="22"/>
  <c r="S7" i="22"/>
  <c r="K11" i="23"/>
  <c r="H16" i="23"/>
  <c r="H17" i="23"/>
  <c r="I17" i="23"/>
  <c r="I16" i="23"/>
  <c r="E24" i="23"/>
  <c r="J39" i="23" s="1"/>
  <c r="D33" i="23"/>
  <c r="E33" i="23" s="1"/>
  <c r="D31" i="23"/>
  <c r="D35" i="23" s="1"/>
  <c r="U14" i="22"/>
  <c r="U10" i="22"/>
  <c r="U13" i="22"/>
  <c r="U9" i="22"/>
  <c r="U16" i="22"/>
  <c r="U12" i="22"/>
  <c r="U8" i="22"/>
  <c r="V8" i="22" s="1"/>
  <c r="U15" i="22"/>
  <c r="U11" i="22"/>
  <c r="S13" i="22"/>
  <c r="S9" i="22"/>
  <c r="T9" i="22" s="1"/>
  <c r="S15" i="22"/>
  <c r="S11" i="22"/>
  <c r="S14" i="22"/>
  <c r="T14" i="22" s="1"/>
  <c r="S10" i="22"/>
  <c r="S16" i="22"/>
  <c r="T16" i="22" s="1"/>
  <c r="S12" i="22"/>
  <c r="Q18" i="22"/>
  <c r="T10" i="22"/>
  <c r="T8" i="22"/>
  <c r="I13" i="22"/>
  <c r="I9" i="22"/>
  <c r="J9" i="22" s="1"/>
  <c r="I16" i="22"/>
  <c r="I12" i="22"/>
  <c r="G18" i="22"/>
  <c r="C13" i="22"/>
  <c r="C14" i="22" s="1"/>
  <c r="C15" i="22" s="1"/>
  <c r="C16" i="22" s="1"/>
  <c r="D14" i="22"/>
  <c r="D9" i="22"/>
  <c r="D16" i="22"/>
  <c r="D12" i="22"/>
  <c r="D8" i="22"/>
  <c r="D10" i="22"/>
  <c r="E10" i="22" s="1"/>
  <c r="D13" i="22"/>
  <c r="D15" i="22"/>
  <c r="D11" i="22"/>
  <c r="H40" i="17"/>
  <c r="D12" i="17"/>
  <c r="V9" i="22" l="1"/>
  <c r="J10" i="22"/>
  <c r="E9" i="22"/>
  <c r="J14" i="22"/>
  <c r="V16" i="22"/>
  <c r="V14" i="22"/>
  <c r="V11" i="22"/>
  <c r="J16" i="22"/>
  <c r="V13" i="22"/>
  <c r="I40" i="17"/>
  <c r="U19" i="22"/>
  <c r="E8" i="22"/>
  <c r="D20" i="22"/>
  <c r="V15" i="22"/>
  <c r="U17" i="22"/>
  <c r="V17" i="22" s="1"/>
  <c r="U20" i="22"/>
  <c r="V20" i="22" s="1"/>
  <c r="D18" i="22"/>
  <c r="U21" i="22"/>
  <c r="D19" i="22"/>
  <c r="E15" i="22"/>
  <c r="E12" i="22"/>
  <c r="S20" i="22"/>
  <c r="S18" i="22"/>
  <c r="T18" i="22" s="1"/>
  <c r="S17" i="22"/>
  <c r="T17" i="22" s="1"/>
  <c r="S19" i="22"/>
  <c r="S21" i="22"/>
  <c r="E13" i="22"/>
  <c r="E16" i="22"/>
  <c r="V12" i="22"/>
  <c r="V10" i="22"/>
  <c r="U18" i="22"/>
  <c r="V18" i="22" s="1"/>
  <c r="I18" i="22"/>
  <c r="I21" i="22"/>
  <c r="I19" i="22"/>
  <c r="I20" i="22"/>
  <c r="I17" i="22"/>
  <c r="J17" i="22" s="1"/>
  <c r="D17" i="22"/>
  <c r="E17" i="22" s="1"/>
  <c r="D21" i="22"/>
  <c r="E21" i="22" s="1"/>
  <c r="E31" i="23"/>
  <c r="K39" i="23" s="1"/>
  <c r="K17" i="23"/>
  <c r="K30" i="23" s="1"/>
  <c r="K16" i="23"/>
  <c r="T13" i="22"/>
  <c r="Q19" i="22"/>
  <c r="T11" i="22"/>
  <c r="T15" i="22"/>
  <c r="T12" i="22"/>
  <c r="J13" i="22"/>
  <c r="G19" i="22"/>
  <c r="J11" i="22"/>
  <c r="J15" i="22"/>
  <c r="J12" i="22"/>
  <c r="E11" i="22"/>
  <c r="E14" i="22"/>
  <c r="D15" i="17"/>
  <c r="E12" i="17"/>
  <c r="F12" i="17"/>
  <c r="C12" i="17"/>
  <c r="G12" i="17"/>
  <c r="L126" i="13"/>
  <c r="L127" i="13"/>
  <c r="L128" i="13"/>
  <c r="L129" i="13"/>
  <c r="L130" i="13"/>
  <c r="L133" i="13"/>
  <c r="L134" i="13"/>
  <c r="L135" i="13"/>
  <c r="L136" i="13"/>
  <c r="L137" i="13"/>
  <c r="L138" i="13"/>
  <c r="L141" i="13"/>
  <c r="L143" i="13"/>
  <c r="L144" i="13"/>
  <c r="L145" i="13"/>
  <c r="L146" i="13"/>
  <c r="L148" i="13"/>
  <c r="L149" i="13"/>
  <c r="L150" i="13"/>
  <c r="L153" i="13"/>
  <c r="L154" i="13"/>
  <c r="L155" i="13"/>
  <c r="L157" i="13"/>
  <c r="L159" i="13"/>
  <c r="L161" i="13"/>
  <c r="L162" i="13"/>
  <c r="L164" i="13"/>
  <c r="L165" i="13"/>
  <c r="L166" i="13"/>
  <c r="L167" i="13"/>
  <c r="L170" i="13"/>
  <c r="L171" i="13"/>
  <c r="K125" i="13"/>
  <c r="K126" i="13"/>
  <c r="K127" i="13"/>
  <c r="K128" i="13"/>
  <c r="K129" i="13"/>
  <c r="K130" i="13"/>
  <c r="K133" i="13"/>
  <c r="K134" i="13"/>
  <c r="K135" i="13"/>
  <c r="K136" i="13"/>
  <c r="K137" i="13"/>
  <c r="K138" i="13"/>
  <c r="K141" i="13"/>
  <c r="K143" i="13"/>
  <c r="K144" i="13"/>
  <c r="K145" i="13"/>
  <c r="K146" i="13"/>
  <c r="K147" i="13"/>
  <c r="K148" i="13"/>
  <c r="K149" i="13"/>
  <c r="K150" i="13"/>
  <c r="K153" i="13"/>
  <c r="K154" i="13"/>
  <c r="K155" i="13"/>
  <c r="K157" i="13"/>
  <c r="K159" i="13"/>
  <c r="K161" i="13"/>
  <c r="K162" i="13"/>
  <c r="K164" i="13"/>
  <c r="K165" i="13"/>
  <c r="K166" i="13"/>
  <c r="K167" i="13"/>
  <c r="K170" i="13"/>
  <c r="K171" i="13"/>
  <c r="J126" i="13"/>
  <c r="J127" i="13"/>
  <c r="J128" i="13"/>
  <c r="J129" i="13"/>
  <c r="J130" i="13"/>
  <c r="J133" i="13"/>
  <c r="J134" i="13"/>
  <c r="J135" i="13"/>
  <c r="J136" i="13"/>
  <c r="J137" i="13"/>
  <c r="J138" i="13"/>
  <c r="J141" i="13"/>
  <c r="J143" i="13"/>
  <c r="J144" i="13"/>
  <c r="J145" i="13"/>
  <c r="J146" i="13"/>
  <c r="J147" i="13"/>
  <c r="J148" i="13"/>
  <c r="J149" i="13"/>
  <c r="J150" i="13"/>
  <c r="J153" i="13"/>
  <c r="J154" i="13"/>
  <c r="J155" i="13"/>
  <c r="J157" i="13"/>
  <c r="J159" i="13"/>
  <c r="J160" i="13"/>
  <c r="J161" i="13"/>
  <c r="J162" i="13"/>
  <c r="J164" i="13"/>
  <c r="J165" i="13"/>
  <c r="J166" i="13"/>
  <c r="J167" i="13"/>
  <c r="J170" i="13"/>
  <c r="J171" i="13"/>
  <c r="I126" i="13"/>
  <c r="I127" i="13"/>
  <c r="I128" i="13"/>
  <c r="I129" i="13"/>
  <c r="I130" i="13"/>
  <c r="I133" i="13"/>
  <c r="I134" i="13"/>
  <c r="I135" i="13"/>
  <c r="I136" i="13"/>
  <c r="I137" i="13"/>
  <c r="I138" i="13"/>
  <c r="I141" i="13"/>
  <c r="I143" i="13"/>
  <c r="I144" i="13"/>
  <c r="I145" i="13"/>
  <c r="I146" i="13"/>
  <c r="I147" i="13"/>
  <c r="I148" i="13"/>
  <c r="I149" i="13"/>
  <c r="I150" i="13"/>
  <c r="I153" i="13"/>
  <c r="I154" i="13"/>
  <c r="I155" i="13"/>
  <c r="I157" i="13"/>
  <c r="I159" i="13"/>
  <c r="I161" i="13"/>
  <c r="I162" i="13"/>
  <c r="I164" i="13"/>
  <c r="I165" i="13"/>
  <c r="I166" i="13"/>
  <c r="I167" i="13"/>
  <c r="I170" i="13"/>
  <c r="I171" i="13"/>
  <c r="H126" i="13"/>
  <c r="H127" i="13"/>
  <c r="H128" i="13"/>
  <c r="H129" i="13"/>
  <c r="H130" i="13"/>
  <c r="H133" i="13"/>
  <c r="H134" i="13"/>
  <c r="H135" i="13"/>
  <c r="H136" i="13"/>
  <c r="H137" i="13"/>
  <c r="H138" i="13"/>
  <c r="H141" i="13"/>
  <c r="H143" i="13"/>
  <c r="H144" i="13"/>
  <c r="H145" i="13"/>
  <c r="H146" i="13"/>
  <c r="H147" i="13"/>
  <c r="H148" i="13"/>
  <c r="H149" i="13"/>
  <c r="H150" i="13"/>
  <c r="H153" i="13"/>
  <c r="H154" i="13"/>
  <c r="H155" i="13"/>
  <c r="H156" i="13"/>
  <c r="H157" i="13"/>
  <c r="H159" i="13"/>
  <c r="H161" i="13"/>
  <c r="H162" i="13"/>
  <c r="H164" i="13"/>
  <c r="H165" i="13"/>
  <c r="H166" i="13"/>
  <c r="H167" i="13"/>
  <c r="H170" i="13"/>
  <c r="H171" i="13"/>
  <c r="G126" i="13"/>
  <c r="G127" i="13"/>
  <c r="G128" i="13"/>
  <c r="G129" i="13"/>
  <c r="G130" i="13"/>
  <c r="G133" i="13"/>
  <c r="G134" i="13"/>
  <c r="G135" i="13"/>
  <c r="G136" i="13"/>
  <c r="G137" i="13"/>
  <c r="G138" i="13"/>
  <c r="G141" i="13"/>
  <c r="G143" i="13"/>
  <c r="G144" i="13"/>
  <c r="G145" i="13"/>
  <c r="G146" i="13"/>
  <c r="G147" i="13"/>
  <c r="G148" i="13"/>
  <c r="G150" i="13"/>
  <c r="G153" i="13"/>
  <c r="G154" i="13"/>
  <c r="G155" i="13"/>
  <c r="G156" i="13"/>
  <c r="G157" i="13"/>
  <c r="G159" i="13"/>
  <c r="G161" i="13"/>
  <c r="G162" i="13"/>
  <c r="G164" i="13"/>
  <c r="G165" i="13"/>
  <c r="G166" i="13"/>
  <c r="G167" i="13"/>
  <c r="G170" i="13"/>
  <c r="G171" i="13"/>
  <c r="F126" i="13"/>
  <c r="F127" i="13"/>
  <c r="F128" i="13"/>
  <c r="F129" i="13"/>
  <c r="F130" i="13"/>
  <c r="F133" i="13"/>
  <c r="F134" i="13"/>
  <c r="F135" i="13"/>
  <c r="F136" i="13"/>
  <c r="F137" i="13"/>
  <c r="F138" i="13"/>
  <c r="F141" i="13"/>
  <c r="F143" i="13"/>
  <c r="F144" i="13"/>
  <c r="F145" i="13"/>
  <c r="F146" i="13"/>
  <c r="F147" i="13"/>
  <c r="F148" i="13"/>
  <c r="F149" i="13"/>
  <c r="F150" i="13"/>
  <c r="F153" i="13"/>
  <c r="F154" i="13"/>
  <c r="F155" i="13"/>
  <c r="F156" i="13"/>
  <c r="F157" i="13"/>
  <c r="F159" i="13"/>
  <c r="F161" i="13"/>
  <c r="F162" i="13"/>
  <c r="F164" i="13"/>
  <c r="F165" i="13"/>
  <c r="F166" i="13"/>
  <c r="F167" i="13"/>
  <c r="F170" i="13"/>
  <c r="F171" i="13"/>
  <c r="E126" i="13"/>
  <c r="E127" i="13"/>
  <c r="E128" i="13"/>
  <c r="E129" i="13"/>
  <c r="E130" i="13"/>
  <c r="E133" i="13"/>
  <c r="E134" i="13"/>
  <c r="E135" i="13"/>
  <c r="E136" i="13"/>
  <c r="E137" i="13"/>
  <c r="E138" i="13"/>
  <c r="E141" i="13"/>
  <c r="E143" i="13"/>
  <c r="E144" i="13"/>
  <c r="E145" i="13"/>
  <c r="E146" i="13"/>
  <c r="E147" i="13"/>
  <c r="E148" i="13"/>
  <c r="E149" i="13"/>
  <c r="E150" i="13"/>
  <c r="E153" i="13"/>
  <c r="E154" i="13"/>
  <c r="E155" i="13"/>
  <c r="E156" i="13"/>
  <c r="E157" i="13"/>
  <c r="E159" i="13"/>
  <c r="E161" i="13"/>
  <c r="E162" i="13"/>
  <c r="E164" i="13"/>
  <c r="E165" i="13"/>
  <c r="E166" i="13"/>
  <c r="E167" i="13"/>
  <c r="E170" i="13"/>
  <c r="E171" i="13"/>
  <c r="D126" i="13"/>
  <c r="D127" i="13"/>
  <c r="D128" i="13"/>
  <c r="D129" i="13"/>
  <c r="D130" i="13"/>
  <c r="D131" i="13"/>
  <c r="D133" i="13"/>
  <c r="D134" i="13"/>
  <c r="D135" i="13"/>
  <c r="D136" i="13"/>
  <c r="D137" i="13"/>
  <c r="D138" i="13"/>
  <c r="D141" i="13"/>
  <c r="D143" i="13"/>
  <c r="D144" i="13"/>
  <c r="D145" i="13"/>
  <c r="D146" i="13"/>
  <c r="D147" i="13"/>
  <c r="D148" i="13"/>
  <c r="D149" i="13"/>
  <c r="D150" i="13"/>
  <c r="D153" i="13"/>
  <c r="D154" i="13"/>
  <c r="D155" i="13"/>
  <c r="D156" i="13"/>
  <c r="D157" i="13"/>
  <c r="D158" i="13"/>
  <c r="D161" i="13"/>
  <c r="D162" i="13"/>
  <c r="D164" i="13"/>
  <c r="D165" i="13"/>
  <c r="D166" i="13"/>
  <c r="D167" i="13"/>
  <c r="D170" i="13"/>
  <c r="D171" i="13"/>
  <c r="C126" i="13"/>
  <c r="C127" i="13"/>
  <c r="C128" i="13"/>
  <c r="C129" i="13"/>
  <c r="C130" i="13"/>
  <c r="C131" i="13"/>
  <c r="C133" i="13"/>
  <c r="C134" i="13"/>
  <c r="C135" i="13"/>
  <c r="C136" i="13"/>
  <c r="C137" i="13"/>
  <c r="C138" i="13"/>
  <c r="C141" i="13"/>
  <c r="C143" i="13"/>
  <c r="C144" i="13"/>
  <c r="C145" i="13"/>
  <c r="C146" i="13"/>
  <c r="C147" i="13"/>
  <c r="C148" i="13"/>
  <c r="C149" i="13"/>
  <c r="C150" i="13"/>
  <c r="C153" i="13"/>
  <c r="C154" i="13"/>
  <c r="C155" i="13"/>
  <c r="C156" i="13"/>
  <c r="C158" i="13"/>
  <c r="C161" i="13"/>
  <c r="C162" i="13"/>
  <c r="C164" i="13"/>
  <c r="C165" i="13"/>
  <c r="C166" i="13"/>
  <c r="C167" i="13"/>
  <c r="C170" i="13"/>
  <c r="C171" i="13"/>
  <c r="D123" i="13"/>
  <c r="E123" i="13"/>
  <c r="F123" i="13"/>
  <c r="G123" i="13"/>
  <c r="H123" i="13"/>
  <c r="I123" i="13"/>
  <c r="J123" i="13"/>
  <c r="K123" i="13"/>
  <c r="L123" i="13"/>
  <c r="C123" i="13"/>
  <c r="C104" i="13"/>
  <c r="C106" i="13"/>
  <c r="C107" i="13"/>
  <c r="C111" i="13"/>
  <c r="C112" i="13"/>
  <c r="C113" i="13"/>
  <c r="C114" i="13"/>
  <c r="C115" i="13"/>
  <c r="C116" i="13"/>
  <c r="C117" i="13"/>
  <c r="C118" i="13"/>
  <c r="L62" i="13"/>
  <c r="L63" i="13"/>
  <c r="L64" i="13"/>
  <c r="L66" i="13"/>
  <c r="L67" i="13"/>
  <c r="L68" i="13"/>
  <c r="L69" i="13"/>
  <c r="L70" i="13"/>
  <c r="L71" i="13"/>
  <c r="L73" i="13"/>
  <c r="L74" i="13"/>
  <c r="L75" i="13"/>
  <c r="L76" i="13"/>
  <c r="L77" i="13"/>
  <c r="L78" i="13"/>
  <c r="L79" i="13"/>
  <c r="L80" i="13"/>
  <c r="L81" i="13"/>
  <c r="L82" i="13"/>
  <c r="L83" i="13"/>
  <c r="L84" i="13"/>
  <c r="L86" i="13"/>
  <c r="L87" i="13"/>
  <c r="L91" i="13"/>
  <c r="L92" i="13"/>
  <c r="L93" i="13"/>
  <c r="L94" i="13"/>
  <c r="L95" i="13"/>
  <c r="L96" i="13"/>
  <c r="L97" i="13"/>
  <c r="L99" i="13"/>
  <c r="L100" i="13"/>
  <c r="L101" i="13"/>
  <c r="L102" i="13"/>
  <c r="L103" i="13"/>
  <c r="L104" i="13"/>
  <c r="L106" i="13"/>
  <c r="L107" i="13"/>
  <c r="L111" i="13"/>
  <c r="L112" i="13"/>
  <c r="L113" i="13"/>
  <c r="L114" i="13"/>
  <c r="L115" i="13"/>
  <c r="L116" i="13"/>
  <c r="L117" i="13"/>
  <c r="L118" i="13"/>
  <c r="K62" i="13"/>
  <c r="K63" i="13"/>
  <c r="K64" i="13"/>
  <c r="K66" i="13"/>
  <c r="K67" i="13"/>
  <c r="K68" i="13"/>
  <c r="K69" i="13"/>
  <c r="K70" i="13"/>
  <c r="K71" i="13"/>
  <c r="K73" i="13"/>
  <c r="K74" i="13"/>
  <c r="K75" i="13"/>
  <c r="K76" i="13"/>
  <c r="K77" i="13"/>
  <c r="K78" i="13"/>
  <c r="K79" i="13"/>
  <c r="K80" i="13"/>
  <c r="K81" i="13"/>
  <c r="K82" i="13"/>
  <c r="K83" i="13"/>
  <c r="K84" i="13"/>
  <c r="K86" i="13"/>
  <c r="K87" i="13"/>
  <c r="K91" i="13"/>
  <c r="K92" i="13"/>
  <c r="K93" i="13"/>
  <c r="K94" i="13"/>
  <c r="K95" i="13"/>
  <c r="K96" i="13"/>
  <c r="K97" i="13"/>
  <c r="K99" i="13"/>
  <c r="K100" i="13"/>
  <c r="K101" i="13"/>
  <c r="K102" i="13"/>
  <c r="K103" i="13"/>
  <c r="K104" i="13"/>
  <c r="K106" i="13"/>
  <c r="K107" i="13"/>
  <c r="K111" i="13"/>
  <c r="K112" i="13"/>
  <c r="K113" i="13"/>
  <c r="K114" i="13"/>
  <c r="K115" i="13"/>
  <c r="K116" i="13"/>
  <c r="K117" i="13"/>
  <c r="K118" i="13"/>
  <c r="J62" i="13"/>
  <c r="J63" i="13"/>
  <c r="J64" i="13"/>
  <c r="J66" i="13"/>
  <c r="J67" i="13"/>
  <c r="J68" i="13"/>
  <c r="J69" i="13"/>
  <c r="J70" i="13"/>
  <c r="J71" i="13"/>
  <c r="J73" i="13"/>
  <c r="J74" i="13"/>
  <c r="J75" i="13"/>
  <c r="J76" i="13"/>
  <c r="J77" i="13"/>
  <c r="J78" i="13"/>
  <c r="J79" i="13"/>
  <c r="J80" i="13"/>
  <c r="J81" i="13"/>
  <c r="J82" i="13"/>
  <c r="J83" i="13"/>
  <c r="J84" i="13"/>
  <c r="J86" i="13"/>
  <c r="J87" i="13"/>
  <c r="J91" i="13"/>
  <c r="J92" i="13"/>
  <c r="J93" i="13"/>
  <c r="J94" i="13"/>
  <c r="J95" i="13"/>
  <c r="J96" i="13"/>
  <c r="J97" i="13"/>
  <c r="J99" i="13"/>
  <c r="J100" i="13"/>
  <c r="J101" i="13"/>
  <c r="J102" i="13"/>
  <c r="J103" i="13"/>
  <c r="J104" i="13"/>
  <c r="J106" i="13"/>
  <c r="J107" i="13"/>
  <c r="J111" i="13"/>
  <c r="J112" i="13"/>
  <c r="J113" i="13"/>
  <c r="J114" i="13"/>
  <c r="J115" i="13"/>
  <c r="J116" i="13"/>
  <c r="J117" i="13"/>
  <c r="J118" i="13"/>
  <c r="I62" i="13"/>
  <c r="I63" i="13"/>
  <c r="I64" i="13"/>
  <c r="I66" i="13"/>
  <c r="I67" i="13"/>
  <c r="I68" i="13"/>
  <c r="I69" i="13"/>
  <c r="I70" i="13"/>
  <c r="I71" i="13"/>
  <c r="I72" i="13"/>
  <c r="I73" i="13"/>
  <c r="I74" i="13"/>
  <c r="I75" i="13"/>
  <c r="I76" i="13"/>
  <c r="I77" i="13"/>
  <c r="I78" i="13"/>
  <c r="I79" i="13"/>
  <c r="I80" i="13"/>
  <c r="I81" i="13"/>
  <c r="I82" i="13"/>
  <c r="I83" i="13"/>
  <c r="I84" i="13"/>
  <c r="I85" i="13"/>
  <c r="I86" i="13"/>
  <c r="I87" i="13"/>
  <c r="I91" i="13"/>
  <c r="I92" i="13"/>
  <c r="I93" i="13"/>
  <c r="I94" i="13"/>
  <c r="I95" i="13"/>
  <c r="I96" i="13"/>
  <c r="I97" i="13"/>
  <c r="I98" i="13"/>
  <c r="I99" i="13"/>
  <c r="I100" i="13"/>
  <c r="I101" i="13"/>
  <c r="I102" i="13"/>
  <c r="I103" i="13"/>
  <c r="I104" i="13"/>
  <c r="I105" i="13"/>
  <c r="I106" i="13"/>
  <c r="I107" i="13"/>
  <c r="I111" i="13"/>
  <c r="I112" i="13"/>
  <c r="I113" i="13"/>
  <c r="I114" i="13"/>
  <c r="I115" i="13"/>
  <c r="I116" i="13"/>
  <c r="I117" i="13"/>
  <c r="I118" i="13"/>
  <c r="H62" i="13"/>
  <c r="H63" i="13"/>
  <c r="H64" i="13"/>
  <c r="H65" i="13"/>
  <c r="H68" i="13"/>
  <c r="H69" i="13"/>
  <c r="H70" i="13"/>
  <c r="H71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6" i="13"/>
  <c r="H87" i="13"/>
  <c r="H91" i="13"/>
  <c r="H92" i="13"/>
  <c r="H93" i="13"/>
  <c r="H94" i="13"/>
  <c r="H95" i="13"/>
  <c r="H96" i="13"/>
  <c r="H97" i="13"/>
  <c r="H99" i="13"/>
  <c r="H100" i="13"/>
  <c r="H101" i="13"/>
  <c r="H102" i="13"/>
  <c r="H103" i="13"/>
  <c r="H104" i="13"/>
  <c r="H106" i="13"/>
  <c r="H107" i="13"/>
  <c r="H111" i="13"/>
  <c r="H112" i="13"/>
  <c r="H113" i="13"/>
  <c r="H114" i="13"/>
  <c r="H115" i="13"/>
  <c r="H116" i="13"/>
  <c r="H117" i="13"/>
  <c r="H118" i="13"/>
  <c r="G62" i="13"/>
  <c r="G63" i="13"/>
  <c r="G64" i="13"/>
  <c r="G65" i="13"/>
  <c r="G68" i="13"/>
  <c r="G69" i="13"/>
  <c r="G70" i="13"/>
  <c r="G71" i="13"/>
  <c r="G73" i="13"/>
  <c r="G74" i="13"/>
  <c r="G75" i="13"/>
  <c r="G76" i="13"/>
  <c r="G78" i="13"/>
  <c r="G79" i="13"/>
  <c r="G80" i="13"/>
  <c r="G81" i="13"/>
  <c r="G82" i="13"/>
  <c r="G83" i="13"/>
  <c r="G84" i="13"/>
  <c r="G86" i="13"/>
  <c r="G87" i="13"/>
  <c r="G91" i="13"/>
  <c r="G92" i="13"/>
  <c r="G93" i="13"/>
  <c r="G94" i="13"/>
  <c r="G95" i="13"/>
  <c r="G97" i="13"/>
  <c r="G99" i="13"/>
  <c r="G100" i="13"/>
  <c r="G101" i="13"/>
  <c r="G102" i="13"/>
  <c r="G104" i="13"/>
  <c r="G106" i="13"/>
  <c r="G107" i="13"/>
  <c r="G111" i="13"/>
  <c r="G112" i="13"/>
  <c r="G113" i="13"/>
  <c r="G114" i="13"/>
  <c r="G115" i="13"/>
  <c r="G116" i="13"/>
  <c r="G117" i="13"/>
  <c r="G118" i="13"/>
  <c r="F62" i="13"/>
  <c r="F63" i="13"/>
  <c r="F64" i="13"/>
  <c r="F65" i="13"/>
  <c r="F68" i="13"/>
  <c r="F69" i="13"/>
  <c r="F70" i="13"/>
  <c r="F71" i="13"/>
  <c r="F73" i="13"/>
  <c r="F74" i="13"/>
  <c r="F75" i="13"/>
  <c r="F76" i="13"/>
  <c r="F78" i="13"/>
  <c r="F79" i="13"/>
  <c r="F80" i="13"/>
  <c r="F81" i="13"/>
  <c r="F82" i="13"/>
  <c r="F83" i="13"/>
  <c r="F84" i="13"/>
  <c r="F86" i="13"/>
  <c r="F87" i="13"/>
  <c r="F91" i="13"/>
  <c r="F92" i="13"/>
  <c r="F93" i="13"/>
  <c r="F94" i="13"/>
  <c r="F95" i="13"/>
  <c r="F97" i="13"/>
  <c r="F99" i="13"/>
  <c r="F100" i="13"/>
  <c r="F101" i="13"/>
  <c r="F102" i="13"/>
  <c r="F104" i="13"/>
  <c r="F106" i="13"/>
  <c r="F107" i="13"/>
  <c r="F111" i="13"/>
  <c r="F112" i="13"/>
  <c r="F113" i="13"/>
  <c r="F114" i="13"/>
  <c r="F115" i="13"/>
  <c r="F116" i="13"/>
  <c r="F117" i="13"/>
  <c r="F118" i="13"/>
  <c r="E63" i="13"/>
  <c r="E64" i="13"/>
  <c r="E65" i="13"/>
  <c r="E68" i="13"/>
  <c r="E69" i="13"/>
  <c r="E71" i="13"/>
  <c r="E73" i="13"/>
  <c r="E74" i="13"/>
  <c r="E75" i="13"/>
  <c r="E76" i="13"/>
  <c r="E78" i="13"/>
  <c r="E79" i="13"/>
  <c r="E81" i="13"/>
  <c r="E82" i="13"/>
  <c r="E83" i="13"/>
  <c r="E84" i="13"/>
  <c r="E86" i="13"/>
  <c r="E87" i="13"/>
  <c r="E91" i="13"/>
  <c r="E92" i="13"/>
  <c r="E93" i="13"/>
  <c r="E94" i="13"/>
  <c r="E95" i="13"/>
  <c r="E97" i="13"/>
  <c r="E99" i="13"/>
  <c r="E100" i="13"/>
  <c r="E101" i="13"/>
  <c r="E102" i="13"/>
  <c r="E104" i="13"/>
  <c r="E106" i="13"/>
  <c r="E107" i="13"/>
  <c r="E111" i="13"/>
  <c r="E112" i="13"/>
  <c r="E113" i="13"/>
  <c r="E114" i="13"/>
  <c r="E115" i="13"/>
  <c r="E116" i="13"/>
  <c r="E117" i="13"/>
  <c r="E118" i="13"/>
  <c r="D63" i="13"/>
  <c r="D64" i="13"/>
  <c r="D65" i="13"/>
  <c r="D68" i="13"/>
  <c r="D69" i="13"/>
  <c r="D71" i="13"/>
  <c r="D73" i="13"/>
  <c r="D74" i="13"/>
  <c r="D75" i="13"/>
  <c r="D76" i="13"/>
  <c r="D78" i="13"/>
  <c r="D79" i="13"/>
  <c r="D81" i="13"/>
  <c r="D82" i="13"/>
  <c r="D83" i="13"/>
  <c r="D84" i="13"/>
  <c r="D86" i="13"/>
  <c r="D87" i="13"/>
  <c r="D91" i="13"/>
  <c r="D92" i="13"/>
  <c r="D93" i="13"/>
  <c r="D94" i="13"/>
  <c r="D95" i="13"/>
  <c r="D97" i="13"/>
  <c r="D99" i="13"/>
  <c r="D100" i="13"/>
  <c r="D101" i="13"/>
  <c r="D102" i="13"/>
  <c r="D104" i="13"/>
  <c r="D106" i="13"/>
  <c r="D107" i="13"/>
  <c r="D111" i="13"/>
  <c r="D112" i="13"/>
  <c r="D113" i="13"/>
  <c r="D114" i="13"/>
  <c r="D115" i="13"/>
  <c r="D116" i="13"/>
  <c r="D117" i="13"/>
  <c r="D118" i="13"/>
  <c r="C63" i="13"/>
  <c r="C64" i="13"/>
  <c r="C65" i="13"/>
  <c r="C68" i="13"/>
  <c r="C69" i="13"/>
  <c r="C71" i="13"/>
  <c r="C73" i="13"/>
  <c r="C74" i="13"/>
  <c r="C75" i="13"/>
  <c r="C76" i="13"/>
  <c r="C78" i="13"/>
  <c r="C79" i="13"/>
  <c r="C81" i="13"/>
  <c r="C82" i="13"/>
  <c r="C83" i="13"/>
  <c r="C84" i="13"/>
  <c r="C86" i="13"/>
  <c r="C87" i="13"/>
  <c r="C91" i="13"/>
  <c r="C92" i="13"/>
  <c r="C93" i="13"/>
  <c r="C94" i="13"/>
  <c r="C95" i="13"/>
  <c r="C97" i="13"/>
  <c r="C99" i="13"/>
  <c r="C100" i="13"/>
  <c r="C101" i="13"/>
  <c r="C102" i="13"/>
  <c r="D61" i="13"/>
  <c r="E61" i="13"/>
  <c r="F61" i="13"/>
  <c r="G61" i="13"/>
  <c r="H61" i="13"/>
  <c r="I61" i="13"/>
  <c r="J61" i="13"/>
  <c r="K61" i="13"/>
  <c r="L61" i="13"/>
  <c r="C61" i="13"/>
  <c r="L36" i="13"/>
  <c r="L38" i="13"/>
  <c r="L40" i="13"/>
  <c r="L42" i="13"/>
  <c r="L43" i="13"/>
  <c r="L44" i="13"/>
  <c r="L46" i="13"/>
  <c r="L47" i="13"/>
  <c r="L48" i="13"/>
  <c r="L49" i="13"/>
  <c r="L50" i="13"/>
  <c r="L51" i="13"/>
  <c r="L52" i="13"/>
  <c r="L53" i="13"/>
  <c r="L54" i="13"/>
  <c r="L55" i="13"/>
  <c r="K36" i="13"/>
  <c r="K38" i="13"/>
  <c r="K40" i="13"/>
  <c r="K42" i="13"/>
  <c r="K43" i="13"/>
  <c r="K44" i="13"/>
  <c r="K46" i="13"/>
  <c r="K47" i="13"/>
  <c r="K48" i="13"/>
  <c r="K49" i="13"/>
  <c r="K50" i="13"/>
  <c r="K51" i="13"/>
  <c r="K52" i="13"/>
  <c r="K53" i="13"/>
  <c r="K54" i="13"/>
  <c r="K55" i="13"/>
  <c r="J36" i="13"/>
  <c r="J38" i="13"/>
  <c r="J40" i="13"/>
  <c r="J42" i="13"/>
  <c r="J43" i="13"/>
  <c r="J44" i="13"/>
  <c r="J46" i="13"/>
  <c r="J47" i="13"/>
  <c r="J48" i="13"/>
  <c r="J49" i="13"/>
  <c r="J50" i="13"/>
  <c r="J51" i="13"/>
  <c r="J52" i="13"/>
  <c r="J53" i="13"/>
  <c r="J54" i="13"/>
  <c r="J55" i="13"/>
  <c r="I36" i="13"/>
  <c r="I38" i="13"/>
  <c r="I40" i="13"/>
  <c r="I42" i="13"/>
  <c r="I43" i="13"/>
  <c r="I44" i="13"/>
  <c r="I46" i="13"/>
  <c r="I47" i="13"/>
  <c r="I48" i="13"/>
  <c r="I49" i="13"/>
  <c r="I50" i="13"/>
  <c r="I51" i="13"/>
  <c r="I52" i="13"/>
  <c r="I53" i="13"/>
  <c r="I54" i="13"/>
  <c r="I55" i="13"/>
  <c r="H36" i="13"/>
  <c r="H38" i="13"/>
  <c r="H40" i="13"/>
  <c r="H42" i="13"/>
  <c r="H43" i="13"/>
  <c r="H44" i="13"/>
  <c r="H46" i="13"/>
  <c r="H47" i="13"/>
  <c r="H48" i="13"/>
  <c r="H49" i="13"/>
  <c r="H50" i="13"/>
  <c r="H51" i="13"/>
  <c r="H52" i="13"/>
  <c r="H53" i="13"/>
  <c r="H54" i="13"/>
  <c r="H55" i="13"/>
  <c r="G36" i="13"/>
  <c r="G38" i="13"/>
  <c r="G40" i="13"/>
  <c r="G42" i="13"/>
  <c r="G43" i="13"/>
  <c r="G44" i="13"/>
  <c r="G46" i="13"/>
  <c r="G47" i="13"/>
  <c r="G48" i="13"/>
  <c r="G49" i="13"/>
  <c r="G50" i="13"/>
  <c r="G51" i="13"/>
  <c r="G52" i="13"/>
  <c r="G53" i="13"/>
  <c r="G54" i="13"/>
  <c r="G55" i="13"/>
  <c r="F36" i="13"/>
  <c r="F38" i="13"/>
  <c r="F39" i="13"/>
  <c r="F40" i="13"/>
  <c r="F42" i="13"/>
  <c r="F43" i="13"/>
  <c r="F44" i="13"/>
  <c r="F46" i="13"/>
  <c r="F47" i="13"/>
  <c r="F48" i="13"/>
  <c r="F49" i="13"/>
  <c r="F50" i="13"/>
  <c r="F51" i="13"/>
  <c r="F52" i="13"/>
  <c r="F53" i="13"/>
  <c r="F54" i="13"/>
  <c r="F55" i="13"/>
  <c r="E36" i="13"/>
  <c r="E38" i="13"/>
  <c r="E39" i="13"/>
  <c r="E40" i="13"/>
  <c r="E42" i="13"/>
  <c r="E43" i="13"/>
  <c r="E44" i="13"/>
  <c r="E47" i="13"/>
  <c r="E48" i="13"/>
  <c r="E49" i="13"/>
  <c r="E50" i="13"/>
  <c r="E51" i="13"/>
  <c r="E52" i="13"/>
  <c r="E53" i="13"/>
  <c r="E54" i="13"/>
  <c r="E55" i="13"/>
  <c r="D36" i="13"/>
  <c r="D38" i="13"/>
  <c r="D39" i="13"/>
  <c r="D40" i="13"/>
  <c r="D42" i="13"/>
  <c r="D43" i="13"/>
  <c r="D44" i="13"/>
  <c r="D46" i="13"/>
  <c r="D47" i="13"/>
  <c r="D48" i="13"/>
  <c r="D49" i="13"/>
  <c r="D50" i="13"/>
  <c r="D51" i="13"/>
  <c r="D52" i="13"/>
  <c r="D53" i="13"/>
  <c r="D54" i="13"/>
  <c r="D55" i="13"/>
  <c r="C36" i="13"/>
  <c r="C38" i="13"/>
  <c r="C39" i="13"/>
  <c r="C40" i="13"/>
  <c r="C42" i="13"/>
  <c r="C43" i="13"/>
  <c r="C44" i="13"/>
  <c r="C46" i="13"/>
  <c r="C47" i="13"/>
  <c r="C48" i="13"/>
  <c r="C49" i="13"/>
  <c r="C50" i="13"/>
  <c r="C51" i="13"/>
  <c r="C52" i="13"/>
  <c r="C53" i="13"/>
  <c r="C54" i="13"/>
  <c r="C55" i="13"/>
  <c r="D34" i="13"/>
  <c r="E34" i="13"/>
  <c r="F34" i="13"/>
  <c r="G34" i="13"/>
  <c r="H34" i="13"/>
  <c r="I34" i="13"/>
  <c r="J34" i="13"/>
  <c r="K34" i="13"/>
  <c r="L34" i="13"/>
  <c r="C34" i="13"/>
  <c r="L30" i="13"/>
  <c r="L8" i="13"/>
  <c r="L9" i="13"/>
  <c r="L10" i="13"/>
  <c r="L12" i="13"/>
  <c r="L13" i="13"/>
  <c r="L14" i="13"/>
  <c r="L15" i="13"/>
  <c r="L16" i="13"/>
  <c r="L18" i="13"/>
  <c r="L19" i="13"/>
  <c r="L20" i="13"/>
  <c r="L21" i="13"/>
  <c r="L22" i="13"/>
  <c r="L23" i="13"/>
  <c r="L24" i="13"/>
  <c r="L25" i="13"/>
  <c r="L26" i="13"/>
  <c r="L27" i="13"/>
  <c r="L28" i="13"/>
  <c r="L29" i="13"/>
  <c r="K8" i="13"/>
  <c r="K9" i="13"/>
  <c r="K10" i="13"/>
  <c r="K12" i="13"/>
  <c r="K13" i="13"/>
  <c r="K14" i="13"/>
  <c r="K15" i="13"/>
  <c r="K16" i="13"/>
  <c r="K18" i="13"/>
  <c r="K19" i="13"/>
  <c r="K20" i="13"/>
  <c r="K21" i="13"/>
  <c r="K22" i="13"/>
  <c r="K23" i="13"/>
  <c r="K24" i="13"/>
  <c r="K25" i="13"/>
  <c r="K26" i="13"/>
  <c r="K27" i="13"/>
  <c r="K28" i="13"/>
  <c r="K29" i="13"/>
  <c r="K30" i="13"/>
  <c r="J8" i="13"/>
  <c r="J9" i="13"/>
  <c r="J10" i="13"/>
  <c r="J12" i="13"/>
  <c r="J13" i="13"/>
  <c r="J14" i="13"/>
  <c r="J15" i="13"/>
  <c r="J16" i="13"/>
  <c r="J18" i="13"/>
  <c r="J19" i="13"/>
  <c r="J20" i="13"/>
  <c r="J21" i="13"/>
  <c r="J22" i="13"/>
  <c r="J23" i="13"/>
  <c r="J24" i="13"/>
  <c r="J25" i="13"/>
  <c r="J26" i="13"/>
  <c r="J27" i="13"/>
  <c r="J28" i="13"/>
  <c r="J29" i="13"/>
  <c r="J30" i="13"/>
  <c r="I8" i="13"/>
  <c r="I9" i="13"/>
  <c r="I10" i="13"/>
  <c r="I12" i="13"/>
  <c r="I13" i="13"/>
  <c r="I14" i="13"/>
  <c r="I15" i="13"/>
  <c r="I16" i="13"/>
  <c r="I18" i="13"/>
  <c r="I19" i="13"/>
  <c r="I20" i="13"/>
  <c r="I21" i="13"/>
  <c r="I22" i="13"/>
  <c r="I23" i="13"/>
  <c r="I24" i="13"/>
  <c r="I25" i="13"/>
  <c r="I26" i="13"/>
  <c r="I27" i="13"/>
  <c r="I28" i="13"/>
  <c r="I29" i="13"/>
  <c r="I30" i="13"/>
  <c r="H8" i="13"/>
  <c r="H9" i="13"/>
  <c r="H10" i="13"/>
  <c r="H12" i="13"/>
  <c r="H13" i="13"/>
  <c r="H14" i="13"/>
  <c r="H15" i="13"/>
  <c r="H16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G8" i="13"/>
  <c r="G9" i="13"/>
  <c r="G10" i="13"/>
  <c r="G12" i="13"/>
  <c r="G13" i="13"/>
  <c r="G14" i="13"/>
  <c r="G15" i="13"/>
  <c r="G16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F8" i="13"/>
  <c r="F9" i="13"/>
  <c r="F10" i="13"/>
  <c r="F12" i="13"/>
  <c r="F13" i="13"/>
  <c r="F14" i="13"/>
  <c r="F15" i="13"/>
  <c r="F16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E8" i="13"/>
  <c r="E9" i="13"/>
  <c r="E10" i="13"/>
  <c r="E12" i="13"/>
  <c r="E13" i="13"/>
  <c r="E14" i="13"/>
  <c r="E15" i="13"/>
  <c r="E16" i="13"/>
  <c r="E18" i="13"/>
  <c r="E19" i="13"/>
  <c r="E20" i="13"/>
  <c r="E21" i="13"/>
  <c r="E22" i="13"/>
  <c r="E23" i="13"/>
  <c r="E24" i="13"/>
  <c r="E25" i="13"/>
  <c r="E26" i="13"/>
  <c r="E27" i="13"/>
  <c r="E28" i="13"/>
  <c r="E29" i="13"/>
  <c r="E30" i="13"/>
  <c r="D8" i="13"/>
  <c r="D9" i="13"/>
  <c r="D10" i="13"/>
  <c r="D12" i="13"/>
  <c r="D13" i="13"/>
  <c r="D14" i="13"/>
  <c r="D15" i="13"/>
  <c r="D16" i="13"/>
  <c r="D18" i="13"/>
  <c r="D19" i="13"/>
  <c r="D20" i="13"/>
  <c r="D21" i="13"/>
  <c r="D22" i="13"/>
  <c r="D23" i="13"/>
  <c r="D24" i="13"/>
  <c r="D25" i="13"/>
  <c r="D26" i="13"/>
  <c r="D27" i="13"/>
  <c r="D28" i="13"/>
  <c r="D29" i="13"/>
  <c r="D30" i="13"/>
  <c r="D7" i="13"/>
  <c r="E7" i="13"/>
  <c r="F7" i="13"/>
  <c r="G7" i="13"/>
  <c r="H7" i="13"/>
  <c r="I7" i="13"/>
  <c r="J7" i="13"/>
  <c r="K7" i="13"/>
  <c r="L7" i="13"/>
  <c r="C8" i="13"/>
  <c r="C9" i="13"/>
  <c r="C10" i="13"/>
  <c r="C12" i="13"/>
  <c r="C13" i="13"/>
  <c r="C14" i="13"/>
  <c r="C15" i="13"/>
  <c r="C16" i="13"/>
  <c r="C18" i="13"/>
  <c r="C19" i="13"/>
  <c r="C20" i="13"/>
  <c r="C21" i="13"/>
  <c r="C22" i="13"/>
  <c r="C23" i="13"/>
  <c r="C24" i="13"/>
  <c r="C25" i="13"/>
  <c r="C26" i="13"/>
  <c r="C27" i="13"/>
  <c r="C28" i="13"/>
  <c r="C29" i="13"/>
  <c r="C30" i="13"/>
  <c r="C7" i="13"/>
  <c r="E16" i="11"/>
  <c r="F16" i="11"/>
  <c r="G16" i="11"/>
  <c r="H16" i="11"/>
  <c r="I16" i="11"/>
  <c r="J16" i="11"/>
  <c r="K16" i="11"/>
  <c r="L16" i="11"/>
  <c r="M16" i="11"/>
  <c r="D16" i="11"/>
  <c r="E13" i="11"/>
  <c r="F13" i="11"/>
  <c r="G13" i="11"/>
  <c r="H13" i="11"/>
  <c r="I13" i="11"/>
  <c r="J13" i="11"/>
  <c r="K13" i="11"/>
  <c r="L13" i="11"/>
  <c r="M13" i="11"/>
  <c r="D13" i="11"/>
  <c r="E10" i="11"/>
  <c r="F10" i="11"/>
  <c r="G10" i="11"/>
  <c r="H10" i="11"/>
  <c r="I10" i="11"/>
  <c r="J10" i="11"/>
  <c r="K10" i="11"/>
  <c r="L10" i="11"/>
  <c r="M10" i="11"/>
  <c r="D10" i="11"/>
  <c r="E7" i="11"/>
  <c r="F7" i="11"/>
  <c r="G7" i="11"/>
  <c r="H7" i="11"/>
  <c r="I7" i="11"/>
  <c r="J7" i="11"/>
  <c r="K7" i="11"/>
  <c r="L7" i="11"/>
  <c r="M7" i="11"/>
  <c r="D7" i="11"/>
  <c r="J19" i="22" l="1"/>
  <c r="V21" i="22"/>
  <c r="J21" i="22"/>
  <c r="E19" i="22"/>
  <c r="J11" i="11"/>
  <c r="F11" i="11"/>
  <c r="E17" i="11"/>
  <c r="J17" i="11"/>
  <c r="F17" i="11"/>
  <c r="I8" i="11"/>
  <c r="K14" i="11"/>
  <c r="G14" i="11"/>
  <c r="J40" i="17"/>
  <c r="E18" i="22"/>
  <c r="J18" i="22"/>
  <c r="J20" i="22"/>
  <c r="V19" i="22"/>
  <c r="E32" i="23"/>
  <c r="K40" i="23" s="1"/>
  <c r="T19" i="22"/>
  <c r="Q20" i="22"/>
  <c r="G20" i="22"/>
  <c r="E20" i="22"/>
  <c r="D20" i="17"/>
  <c r="C15" i="17"/>
  <c r="G15" i="17"/>
  <c r="E15" i="17"/>
  <c r="F15" i="17"/>
  <c r="J8" i="11"/>
  <c r="F8" i="11"/>
  <c r="K11" i="11"/>
  <c r="G11" i="11"/>
  <c r="K17" i="11"/>
  <c r="G17" i="11"/>
  <c r="K8" i="11"/>
  <c r="M8" i="11"/>
  <c r="L11" i="11"/>
  <c r="J14" i="11"/>
  <c r="F14" i="11"/>
  <c r="E8" i="11"/>
  <c r="M11" i="11"/>
  <c r="I11" i="11"/>
  <c r="E11" i="11"/>
  <c r="M14" i="11"/>
  <c r="I14" i="11"/>
  <c r="E14" i="11"/>
  <c r="M17" i="11"/>
  <c r="I17" i="11"/>
  <c r="G8" i="11"/>
  <c r="H11" i="11"/>
  <c r="L8" i="11"/>
  <c r="H8" i="11"/>
  <c r="L14" i="11"/>
  <c r="H14" i="11"/>
  <c r="L17" i="11"/>
  <c r="H17" i="11"/>
  <c r="M481" i="10"/>
  <c r="L481" i="10"/>
  <c r="K481" i="10"/>
  <c r="J481" i="10"/>
  <c r="I481" i="10"/>
  <c r="H481" i="10"/>
  <c r="G481" i="10"/>
  <c r="F481" i="10"/>
  <c r="E481" i="10"/>
  <c r="M478" i="10"/>
  <c r="L478" i="10"/>
  <c r="K478" i="10"/>
  <c r="J478" i="10"/>
  <c r="I478" i="10"/>
  <c r="H478" i="10"/>
  <c r="G478" i="10"/>
  <c r="F478" i="10"/>
  <c r="E478" i="10"/>
  <c r="M475" i="10"/>
  <c r="L475" i="10"/>
  <c r="K475" i="10"/>
  <c r="J475" i="10"/>
  <c r="I475" i="10"/>
  <c r="H475" i="10"/>
  <c r="G475" i="10"/>
  <c r="F475" i="10"/>
  <c r="E475" i="10"/>
  <c r="M472" i="10"/>
  <c r="L472" i="10"/>
  <c r="K472" i="10"/>
  <c r="J472" i="10"/>
  <c r="I472" i="10"/>
  <c r="H472" i="10"/>
  <c r="G472" i="10"/>
  <c r="F472" i="10"/>
  <c r="E472" i="10"/>
  <c r="M469" i="10"/>
  <c r="L469" i="10"/>
  <c r="K469" i="10"/>
  <c r="J469" i="10"/>
  <c r="I469" i="10"/>
  <c r="H469" i="10"/>
  <c r="G469" i="10"/>
  <c r="F469" i="10"/>
  <c r="E469" i="10"/>
  <c r="M466" i="10"/>
  <c r="L466" i="10"/>
  <c r="K466" i="10"/>
  <c r="J466" i="10"/>
  <c r="I466" i="10"/>
  <c r="H466" i="10"/>
  <c r="G466" i="10"/>
  <c r="F466" i="10"/>
  <c r="E466" i="10"/>
  <c r="M463" i="10"/>
  <c r="L463" i="10"/>
  <c r="K463" i="10"/>
  <c r="J463" i="10"/>
  <c r="I463" i="10"/>
  <c r="H463" i="10"/>
  <c r="G463" i="10"/>
  <c r="F463" i="10"/>
  <c r="E463" i="10"/>
  <c r="M285" i="10"/>
  <c r="L285" i="10"/>
  <c r="K285" i="10"/>
  <c r="J285" i="10"/>
  <c r="I285" i="10"/>
  <c r="H285" i="10"/>
  <c r="G285" i="10"/>
  <c r="F285" i="10"/>
  <c r="E285" i="10"/>
  <c r="M282" i="10"/>
  <c r="L282" i="10"/>
  <c r="K282" i="10"/>
  <c r="J282" i="10"/>
  <c r="I282" i="10"/>
  <c r="H282" i="10"/>
  <c r="G282" i="10"/>
  <c r="F282" i="10"/>
  <c r="E282" i="10"/>
  <c r="M279" i="10"/>
  <c r="L279" i="10"/>
  <c r="K279" i="10"/>
  <c r="J279" i="10"/>
  <c r="I279" i="10"/>
  <c r="H279" i="10"/>
  <c r="G279" i="10"/>
  <c r="F279" i="10"/>
  <c r="E279" i="10"/>
  <c r="M275" i="10"/>
  <c r="L275" i="10"/>
  <c r="K275" i="10"/>
  <c r="J275" i="10"/>
  <c r="I275" i="10"/>
  <c r="H275" i="10"/>
  <c r="G275" i="10"/>
  <c r="F275" i="10"/>
  <c r="E275" i="10"/>
  <c r="D275" i="10"/>
  <c r="M273" i="10"/>
  <c r="L273" i="10"/>
  <c r="K273" i="10"/>
  <c r="J273" i="10"/>
  <c r="I273" i="10"/>
  <c r="H273" i="10"/>
  <c r="G273" i="10"/>
  <c r="F273" i="10"/>
  <c r="E273" i="10"/>
  <c r="M270" i="10"/>
  <c r="L270" i="10"/>
  <c r="K270" i="10"/>
  <c r="J270" i="10"/>
  <c r="I270" i="10"/>
  <c r="H270" i="10"/>
  <c r="G270" i="10"/>
  <c r="F270" i="10"/>
  <c r="E270" i="10"/>
  <c r="M267" i="10"/>
  <c r="L267" i="10"/>
  <c r="K267" i="10"/>
  <c r="J267" i="10"/>
  <c r="I267" i="10"/>
  <c r="H267" i="10"/>
  <c r="G267" i="10"/>
  <c r="F267" i="10"/>
  <c r="E267" i="10"/>
  <c r="M264" i="10"/>
  <c r="L264" i="10"/>
  <c r="K264" i="10"/>
  <c r="J264" i="10"/>
  <c r="I264" i="10"/>
  <c r="H264" i="10"/>
  <c r="G264" i="10"/>
  <c r="F264" i="10"/>
  <c r="E264" i="10"/>
  <c r="M261" i="10"/>
  <c r="L261" i="10"/>
  <c r="K261" i="10"/>
  <c r="J261" i="10"/>
  <c r="I261" i="10"/>
  <c r="H261" i="10"/>
  <c r="G261" i="10"/>
  <c r="F261" i="10"/>
  <c r="E261" i="10"/>
  <c r="M258" i="10"/>
  <c r="L258" i="10"/>
  <c r="K258" i="10"/>
  <c r="J258" i="10"/>
  <c r="I258" i="10"/>
  <c r="H258" i="10"/>
  <c r="G258" i="10"/>
  <c r="F258" i="10"/>
  <c r="E258" i="10"/>
  <c r="M165" i="10"/>
  <c r="L165" i="10"/>
  <c r="K165" i="10"/>
  <c r="J165" i="10"/>
  <c r="I165" i="10"/>
  <c r="H165" i="10"/>
  <c r="G165" i="10"/>
  <c r="F165" i="10"/>
  <c r="E165" i="10"/>
  <c r="M162" i="10"/>
  <c r="L162" i="10"/>
  <c r="K162" i="10"/>
  <c r="J162" i="10"/>
  <c r="I162" i="10"/>
  <c r="H162" i="10"/>
  <c r="G162" i="10"/>
  <c r="F162" i="10"/>
  <c r="E162" i="10"/>
  <c r="M159" i="10"/>
  <c r="L159" i="10"/>
  <c r="K159" i="10"/>
  <c r="J159" i="10"/>
  <c r="I159" i="10"/>
  <c r="H159" i="10"/>
  <c r="G159" i="10"/>
  <c r="F159" i="10"/>
  <c r="E159" i="10"/>
  <c r="M156" i="10"/>
  <c r="K156" i="10"/>
  <c r="J156" i="10"/>
  <c r="I156" i="10"/>
  <c r="H156" i="10"/>
  <c r="G156" i="10"/>
  <c r="F156" i="10"/>
  <c r="E156" i="10"/>
  <c r="M153" i="10"/>
  <c r="L153" i="10"/>
  <c r="K153" i="10"/>
  <c r="J153" i="10"/>
  <c r="I153" i="10"/>
  <c r="H153" i="10"/>
  <c r="G153" i="10"/>
  <c r="F153" i="10"/>
  <c r="E153" i="10"/>
  <c r="K40" i="17" l="1"/>
  <c r="E35" i="23"/>
  <c r="K31" i="23" s="1"/>
  <c r="K33" i="23" s="1"/>
  <c r="K24" i="23" s="1"/>
  <c r="K25" i="23" s="1"/>
  <c r="J40" i="23" s="1"/>
  <c r="K41" i="23" s="1"/>
  <c r="Q21" i="22"/>
  <c r="T20" i="22"/>
  <c r="G21" i="22"/>
  <c r="E20" i="17"/>
  <c r="F20" i="17"/>
  <c r="G20" i="17"/>
  <c r="C20" i="17"/>
  <c r="D23" i="17"/>
  <c r="H276" i="10"/>
  <c r="L276" i="10"/>
  <c r="E276" i="10"/>
  <c r="I276" i="10"/>
  <c r="M276" i="10"/>
  <c r="F276" i="10"/>
  <c r="J276" i="10"/>
  <c r="G276" i="10"/>
  <c r="K276" i="10"/>
  <c r="F26" i="10"/>
  <c r="G26" i="10"/>
  <c r="H26" i="10"/>
  <c r="I26" i="10"/>
  <c r="J26" i="10"/>
  <c r="K26" i="10"/>
  <c r="L26" i="10"/>
  <c r="M26" i="10"/>
  <c r="E26" i="10"/>
  <c r="F23" i="10"/>
  <c r="G23" i="10"/>
  <c r="H23" i="10"/>
  <c r="I23" i="10"/>
  <c r="J23" i="10"/>
  <c r="K23" i="10"/>
  <c r="L23" i="10"/>
  <c r="M23" i="10"/>
  <c r="E23" i="10"/>
  <c r="F20" i="10"/>
  <c r="G20" i="10"/>
  <c r="H20" i="10"/>
  <c r="I20" i="10"/>
  <c r="J20" i="10"/>
  <c r="K20" i="10"/>
  <c r="L20" i="10"/>
  <c r="M20" i="10"/>
  <c r="E20" i="10"/>
  <c r="F17" i="10"/>
  <c r="G17" i="10"/>
  <c r="H17" i="10"/>
  <c r="I17" i="10"/>
  <c r="J17" i="10"/>
  <c r="K17" i="10"/>
  <c r="L17" i="10"/>
  <c r="M17" i="10"/>
  <c r="E17" i="10"/>
  <c r="F14" i="10"/>
  <c r="G14" i="10"/>
  <c r="H14" i="10"/>
  <c r="I14" i="10"/>
  <c r="J14" i="10"/>
  <c r="K14" i="10"/>
  <c r="L14" i="10"/>
  <c r="M14" i="10"/>
  <c r="E14" i="10"/>
  <c r="F11" i="10"/>
  <c r="G11" i="10"/>
  <c r="H11" i="10"/>
  <c r="I11" i="10"/>
  <c r="J11" i="10"/>
  <c r="K11" i="10"/>
  <c r="L11" i="10"/>
  <c r="M11" i="10"/>
  <c r="E11" i="10"/>
  <c r="F8" i="10"/>
  <c r="G8" i="10"/>
  <c r="H8" i="10"/>
  <c r="I8" i="10"/>
  <c r="J8" i="10"/>
  <c r="K8" i="10"/>
  <c r="L8" i="10"/>
  <c r="M8" i="10"/>
  <c r="E8" i="10"/>
  <c r="E26" i="19"/>
  <c r="I26" i="19"/>
  <c r="K25" i="19"/>
  <c r="E22" i="19"/>
  <c r="I22" i="19"/>
  <c r="I32" i="19"/>
  <c r="E30" i="19"/>
  <c r="E36" i="19" s="1"/>
  <c r="L29" i="19"/>
  <c r="L35" i="19" s="1"/>
  <c r="E3" i="19"/>
  <c r="F3" i="19" s="1"/>
  <c r="G3" i="19" s="1"/>
  <c r="H3" i="19" s="1"/>
  <c r="I3" i="19" s="1"/>
  <c r="J3" i="19" s="1"/>
  <c r="K3" i="19" s="1"/>
  <c r="L3" i="19" s="1"/>
  <c r="D3" i="19"/>
  <c r="L131" i="18"/>
  <c r="L132" i="18"/>
  <c r="L133" i="18"/>
  <c r="L134" i="18"/>
  <c r="L135" i="18"/>
  <c r="L136" i="18"/>
  <c r="L137" i="18"/>
  <c r="L139" i="18"/>
  <c r="L140" i="18"/>
  <c r="L141" i="18"/>
  <c r="L142" i="18"/>
  <c r="L143" i="18"/>
  <c r="L144" i="18"/>
  <c r="L147" i="18"/>
  <c r="L149" i="18"/>
  <c r="L150" i="18"/>
  <c r="L151" i="18"/>
  <c r="L152" i="18"/>
  <c r="L153" i="18"/>
  <c r="L154" i="18"/>
  <c r="L155" i="18"/>
  <c r="L156" i="18"/>
  <c r="L159" i="18"/>
  <c r="L160" i="18"/>
  <c r="L161" i="18"/>
  <c r="L162" i="18"/>
  <c r="L163" i="18"/>
  <c r="L164" i="18"/>
  <c r="L165" i="18"/>
  <c r="L166" i="18"/>
  <c r="L167" i="18"/>
  <c r="L168" i="18"/>
  <c r="L170" i="18"/>
  <c r="L171" i="18"/>
  <c r="L172" i="18"/>
  <c r="L173" i="18"/>
  <c r="L176" i="18"/>
  <c r="L177" i="18"/>
  <c r="K131" i="18"/>
  <c r="K132" i="18"/>
  <c r="K133" i="18"/>
  <c r="K134" i="18"/>
  <c r="K135" i="18"/>
  <c r="K136" i="18"/>
  <c r="K137" i="18"/>
  <c r="K139" i="18"/>
  <c r="K140" i="18"/>
  <c r="K141" i="18"/>
  <c r="K142" i="18"/>
  <c r="K143" i="18"/>
  <c r="K144" i="18"/>
  <c r="K41" i="19" s="1"/>
  <c r="K147" i="18"/>
  <c r="K149" i="18"/>
  <c r="K150" i="18"/>
  <c r="K151" i="18"/>
  <c r="K152" i="18"/>
  <c r="K153" i="18"/>
  <c r="K154" i="18"/>
  <c r="K155" i="18"/>
  <c r="K156" i="18"/>
  <c r="K159" i="18"/>
  <c r="K160" i="18"/>
  <c r="K161" i="18"/>
  <c r="K162" i="18"/>
  <c r="K163" i="18"/>
  <c r="K164" i="18"/>
  <c r="K165" i="18"/>
  <c r="K166" i="18"/>
  <c r="K167" i="18"/>
  <c r="K168" i="18"/>
  <c r="K170" i="18"/>
  <c r="K171" i="18"/>
  <c r="K172" i="18"/>
  <c r="K173" i="18"/>
  <c r="K176" i="18"/>
  <c r="K177" i="18"/>
  <c r="J131" i="18"/>
  <c r="J132" i="18"/>
  <c r="J133" i="18"/>
  <c r="J134" i="18"/>
  <c r="J135" i="18"/>
  <c r="J136" i="18"/>
  <c r="J137" i="18"/>
  <c r="J139" i="18"/>
  <c r="J140" i="18"/>
  <c r="J141" i="18"/>
  <c r="J142" i="18"/>
  <c r="J143" i="18"/>
  <c r="J144" i="18"/>
  <c r="J40" i="19" s="1"/>
  <c r="J147" i="18"/>
  <c r="J149" i="18"/>
  <c r="J150" i="18"/>
  <c r="J151" i="18"/>
  <c r="J152" i="18"/>
  <c r="J153" i="18"/>
  <c r="J154" i="18"/>
  <c r="J155" i="18"/>
  <c r="J156" i="18"/>
  <c r="J159" i="18"/>
  <c r="J160" i="18"/>
  <c r="J161" i="18"/>
  <c r="J162" i="18"/>
  <c r="J163" i="18"/>
  <c r="J164" i="18"/>
  <c r="J165" i="18"/>
  <c r="J166" i="18"/>
  <c r="J167" i="18"/>
  <c r="J168" i="18"/>
  <c r="J170" i="18"/>
  <c r="J171" i="18"/>
  <c r="J172" i="18"/>
  <c r="J173" i="18"/>
  <c r="J176" i="18"/>
  <c r="J177" i="18"/>
  <c r="I131" i="18"/>
  <c r="I132" i="18"/>
  <c r="I133" i="18"/>
  <c r="I134" i="18"/>
  <c r="I135" i="18"/>
  <c r="I136" i="18"/>
  <c r="I137" i="18"/>
  <c r="I139" i="18"/>
  <c r="I140" i="18"/>
  <c r="I141" i="18"/>
  <c r="I142" i="18"/>
  <c r="I143" i="18"/>
  <c r="I144" i="18"/>
  <c r="I39" i="19" s="1"/>
  <c r="I147" i="18"/>
  <c r="I149" i="18"/>
  <c r="I150" i="18"/>
  <c r="I151" i="18"/>
  <c r="I152" i="18"/>
  <c r="I153" i="18"/>
  <c r="I154" i="18"/>
  <c r="I155" i="18"/>
  <c r="I156" i="18"/>
  <c r="I159" i="18"/>
  <c r="I160" i="18"/>
  <c r="I161" i="18"/>
  <c r="I162" i="18"/>
  <c r="I163" i="18"/>
  <c r="I164" i="18"/>
  <c r="I165" i="18"/>
  <c r="I166" i="18"/>
  <c r="I167" i="18"/>
  <c r="I168" i="18"/>
  <c r="I170" i="18"/>
  <c r="I171" i="18"/>
  <c r="I172" i="18"/>
  <c r="I173" i="18"/>
  <c r="I176" i="18"/>
  <c r="I177" i="18"/>
  <c r="H131" i="18"/>
  <c r="H132" i="18"/>
  <c r="H133" i="18"/>
  <c r="H134" i="18"/>
  <c r="H135" i="18"/>
  <c r="H136" i="18"/>
  <c r="H137" i="18"/>
  <c r="H139" i="18"/>
  <c r="H140" i="18"/>
  <c r="H141" i="18"/>
  <c r="H142" i="18"/>
  <c r="H143" i="18"/>
  <c r="H144" i="18"/>
  <c r="H147" i="18"/>
  <c r="H149" i="18"/>
  <c r="H150" i="18"/>
  <c r="H151" i="18"/>
  <c r="H152" i="18"/>
  <c r="H153" i="18"/>
  <c r="H154" i="18"/>
  <c r="H155" i="18"/>
  <c r="H156" i="18"/>
  <c r="H159" i="18"/>
  <c r="H160" i="18"/>
  <c r="H161" i="18"/>
  <c r="H162" i="18"/>
  <c r="H163" i="18"/>
  <c r="H164" i="18"/>
  <c r="H165" i="18"/>
  <c r="H166" i="18"/>
  <c r="H167" i="18"/>
  <c r="H168" i="18"/>
  <c r="H170" i="18"/>
  <c r="H171" i="18"/>
  <c r="H172" i="18"/>
  <c r="H173" i="18"/>
  <c r="H176" i="18"/>
  <c r="H177" i="18"/>
  <c r="G131" i="18"/>
  <c r="G132" i="18"/>
  <c r="G133" i="18"/>
  <c r="G134" i="18"/>
  <c r="G135" i="18"/>
  <c r="G136" i="18"/>
  <c r="G137" i="18"/>
  <c r="G139" i="18"/>
  <c r="G140" i="18"/>
  <c r="G141" i="18"/>
  <c r="G142" i="18"/>
  <c r="G143" i="18"/>
  <c r="G144" i="18"/>
  <c r="G147" i="18"/>
  <c r="G149" i="18"/>
  <c r="G150" i="18"/>
  <c r="G151" i="18"/>
  <c r="G152" i="18"/>
  <c r="G153" i="18"/>
  <c r="G154" i="18"/>
  <c r="G155" i="18"/>
  <c r="G156" i="18"/>
  <c r="G159" i="18"/>
  <c r="G160" i="18"/>
  <c r="G161" i="18"/>
  <c r="G162" i="18"/>
  <c r="G163" i="18"/>
  <c r="G164" i="18"/>
  <c r="G165" i="18"/>
  <c r="G166" i="18"/>
  <c r="G167" i="18"/>
  <c r="G168" i="18"/>
  <c r="G170" i="18"/>
  <c r="G171" i="18"/>
  <c r="G172" i="18"/>
  <c r="G173" i="18"/>
  <c r="G176" i="18"/>
  <c r="G177" i="18"/>
  <c r="F131" i="18"/>
  <c r="F132" i="18"/>
  <c r="F133" i="18"/>
  <c r="F134" i="18"/>
  <c r="F135" i="18"/>
  <c r="F136" i="18"/>
  <c r="F137" i="18"/>
  <c r="F139" i="18"/>
  <c r="F140" i="18"/>
  <c r="F141" i="18"/>
  <c r="F142" i="18"/>
  <c r="F143" i="18"/>
  <c r="F144" i="18"/>
  <c r="F40" i="19" s="1"/>
  <c r="F147" i="18"/>
  <c r="F149" i="18"/>
  <c r="F150" i="18"/>
  <c r="F151" i="18"/>
  <c r="F152" i="18"/>
  <c r="F153" i="18"/>
  <c r="F154" i="18"/>
  <c r="F155" i="18"/>
  <c r="F156" i="18"/>
  <c r="F159" i="18"/>
  <c r="F160" i="18"/>
  <c r="F161" i="18"/>
  <c r="F162" i="18"/>
  <c r="F163" i="18"/>
  <c r="F164" i="18"/>
  <c r="F165" i="18"/>
  <c r="F166" i="18"/>
  <c r="F167" i="18"/>
  <c r="F168" i="18"/>
  <c r="F170" i="18"/>
  <c r="F171" i="18"/>
  <c r="F172" i="18"/>
  <c r="F173" i="18"/>
  <c r="F176" i="18"/>
  <c r="F177" i="18"/>
  <c r="E131" i="18"/>
  <c r="E132" i="18"/>
  <c r="E133" i="18"/>
  <c r="E134" i="18"/>
  <c r="E135" i="18"/>
  <c r="E136" i="18"/>
  <c r="E137" i="18"/>
  <c r="E139" i="18"/>
  <c r="E140" i="18"/>
  <c r="E141" i="18"/>
  <c r="E142" i="18"/>
  <c r="E143" i="18"/>
  <c r="E144" i="18"/>
  <c r="E39" i="19" s="1"/>
  <c r="E147" i="18"/>
  <c r="E149" i="18"/>
  <c r="E150" i="18"/>
  <c r="E151" i="18"/>
  <c r="E152" i="18"/>
  <c r="E153" i="18"/>
  <c r="E154" i="18"/>
  <c r="E155" i="18"/>
  <c r="E156" i="18"/>
  <c r="E159" i="18"/>
  <c r="E160" i="18"/>
  <c r="E161" i="18"/>
  <c r="E162" i="18"/>
  <c r="E163" i="18"/>
  <c r="E164" i="18"/>
  <c r="E165" i="18"/>
  <c r="E166" i="18"/>
  <c r="E167" i="18"/>
  <c r="E168" i="18"/>
  <c r="E170" i="18"/>
  <c r="E171" i="18"/>
  <c r="E172" i="18"/>
  <c r="E173" i="18"/>
  <c r="E176" i="18"/>
  <c r="E177" i="18"/>
  <c r="D131" i="18"/>
  <c r="D132" i="18"/>
  <c r="D133" i="18"/>
  <c r="D134" i="18"/>
  <c r="D135" i="18"/>
  <c r="D136" i="18"/>
  <c r="D137" i="18"/>
  <c r="D139" i="18"/>
  <c r="D140" i="18"/>
  <c r="D141" i="18"/>
  <c r="D142" i="18"/>
  <c r="D143" i="18"/>
  <c r="D144" i="18"/>
  <c r="D147" i="18"/>
  <c r="D149" i="18"/>
  <c r="D150" i="18"/>
  <c r="D151" i="18"/>
  <c r="D152" i="18"/>
  <c r="D153" i="18"/>
  <c r="D154" i="18"/>
  <c r="D155" i="18"/>
  <c r="D156" i="18"/>
  <c r="D159" i="18"/>
  <c r="D160" i="18"/>
  <c r="D161" i="18"/>
  <c r="D162" i="18"/>
  <c r="D163" i="18"/>
  <c r="D164" i="18"/>
  <c r="D165" i="18"/>
  <c r="D166" i="18"/>
  <c r="D167" i="18"/>
  <c r="D168" i="18"/>
  <c r="D170" i="18"/>
  <c r="D171" i="18"/>
  <c r="D172" i="18"/>
  <c r="D173" i="18"/>
  <c r="D176" i="18"/>
  <c r="D177" i="18"/>
  <c r="C131" i="18"/>
  <c r="C132" i="18"/>
  <c r="C133" i="18"/>
  <c r="C134" i="18"/>
  <c r="C135" i="18"/>
  <c r="C136" i="18"/>
  <c r="C137" i="18"/>
  <c r="C139" i="18"/>
  <c r="C140" i="18"/>
  <c r="C141" i="18"/>
  <c r="C142" i="18"/>
  <c r="C143" i="18"/>
  <c r="C144" i="18"/>
  <c r="C147" i="18"/>
  <c r="C149" i="18"/>
  <c r="C150" i="18"/>
  <c r="C151" i="18"/>
  <c r="C152" i="18"/>
  <c r="C153" i="18"/>
  <c r="C154" i="18"/>
  <c r="C155" i="18"/>
  <c r="C156" i="18"/>
  <c r="C159" i="18"/>
  <c r="C160" i="18"/>
  <c r="C161" i="18"/>
  <c r="C162" i="18"/>
  <c r="C163" i="18"/>
  <c r="C164" i="18"/>
  <c r="C165" i="18"/>
  <c r="C166" i="18"/>
  <c r="C167" i="18"/>
  <c r="C168" i="18"/>
  <c r="C170" i="18"/>
  <c r="C171" i="18"/>
  <c r="C172" i="18"/>
  <c r="C173" i="18"/>
  <c r="C176" i="18"/>
  <c r="C177" i="18"/>
  <c r="D129" i="18"/>
  <c r="E129" i="18"/>
  <c r="F129" i="18"/>
  <c r="G129" i="18"/>
  <c r="H129" i="18"/>
  <c r="I129" i="18"/>
  <c r="J129" i="18"/>
  <c r="K129" i="18"/>
  <c r="L129" i="18"/>
  <c r="C129" i="18"/>
  <c r="L60" i="18"/>
  <c r="L61" i="18"/>
  <c r="L62" i="18"/>
  <c r="L64" i="18"/>
  <c r="L65" i="18"/>
  <c r="L66" i="18"/>
  <c r="L67" i="18"/>
  <c r="L68" i="18"/>
  <c r="L69" i="18"/>
  <c r="L70" i="18"/>
  <c r="L71" i="18"/>
  <c r="L25" i="19" s="1"/>
  <c r="L73" i="18"/>
  <c r="L74" i="18"/>
  <c r="L75" i="18"/>
  <c r="L76" i="18"/>
  <c r="L77" i="18"/>
  <c r="L78" i="18"/>
  <c r="L79" i="18"/>
  <c r="L80" i="18"/>
  <c r="L81" i="18"/>
  <c r="L82" i="18"/>
  <c r="L83" i="18"/>
  <c r="L84" i="18"/>
  <c r="L85" i="18"/>
  <c r="L87" i="18"/>
  <c r="L91" i="18"/>
  <c r="L92" i="18"/>
  <c r="L93" i="18"/>
  <c r="L94" i="18"/>
  <c r="L95" i="18"/>
  <c r="L96" i="18"/>
  <c r="L97" i="18"/>
  <c r="L98" i="18"/>
  <c r="L99" i="18"/>
  <c r="L101" i="18"/>
  <c r="L102" i="18"/>
  <c r="L103" i="18"/>
  <c r="L104" i="18"/>
  <c r="L105" i="18"/>
  <c r="L106" i="18"/>
  <c r="L107" i="18"/>
  <c r="L109" i="18"/>
  <c r="L22" i="19" s="1"/>
  <c r="L114" i="18"/>
  <c r="L115" i="18"/>
  <c r="L116" i="18"/>
  <c r="L117" i="18"/>
  <c r="L118" i="18"/>
  <c r="L119" i="18"/>
  <c r="L120" i="18"/>
  <c r="L122" i="18"/>
  <c r="K60" i="18"/>
  <c r="K61" i="18"/>
  <c r="K62" i="18"/>
  <c r="K64" i="18"/>
  <c r="K65" i="18"/>
  <c r="K66" i="18"/>
  <c r="K67" i="18"/>
  <c r="K68" i="18"/>
  <c r="K69" i="18"/>
  <c r="K70" i="18"/>
  <c r="K71" i="18"/>
  <c r="K26" i="19" s="1"/>
  <c r="K73" i="18"/>
  <c r="K74" i="18"/>
  <c r="K75" i="18"/>
  <c r="K76" i="18"/>
  <c r="K77" i="18"/>
  <c r="K78" i="18"/>
  <c r="K79" i="18"/>
  <c r="K80" i="18"/>
  <c r="K81" i="18"/>
  <c r="K82" i="18"/>
  <c r="K83" i="18"/>
  <c r="K84" i="18"/>
  <c r="K85" i="18"/>
  <c r="K87" i="18"/>
  <c r="K91" i="18"/>
  <c r="K92" i="18"/>
  <c r="K93" i="18"/>
  <c r="K94" i="18"/>
  <c r="K95" i="18"/>
  <c r="K96" i="18"/>
  <c r="K97" i="18"/>
  <c r="K98" i="18"/>
  <c r="K99" i="18"/>
  <c r="K101" i="18"/>
  <c r="K102" i="18"/>
  <c r="K103" i="18"/>
  <c r="K104" i="18"/>
  <c r="K105" i="18"/>
  <c r="K106" i="18"/>
  <c r="K107" i="18"/>
  <c r="K109" i="18"/>
  <c r="K22" i="19" s="1"/>
  <c r="K114" i="18"/>
  <c r="K115" i="18"/>
  <c r="K116" i="18"/>
  <c r="K117" i="18"/>
  <c r="K118" i="18"/>
  <c r="K119" i="18"/>
  <c r="K120" i="18"/>
  <c r="K122" i="18"/>
  <c r="J60" i="18"/>
  <c r="J61" i="18"/>
  <c r="J62" i="18"/>
  <c r="J28" i="19" s="1"/>
  <c r="J34" i="19" s="1"/>
  <c r="J64" i="18"/>
  <c r="J65" i="18"/>
  <c r="J66" i="18"/>
  <c r="J67" i="18"/>
  <c r="J68" i="18"/>
  <c r="J69" i="18"/>
  <c r="J70" i="18"/>
  <c r="J71" i="18"/>
  <c r="J26" i="19" s="1"/>
  <c r="J73" i="18"/>
  <c r="J74" i="18"/>
  <c r="J75" i="18"/>
  <c r="J31" i="19" s="1"/>
  <c r="J76" i="18"/>
  <c r="J77" i="18"/>
  <c r="J78" i="18"/>
  <c r="J79" i="18"/>
  <c r="J80" i="18"/>
  <c r="J81" i="18"/>
  <c r="J82" i="18"/>
  <c r="J83" i="18"/>
  <c r="J84" i="18"/>
  <c r="J85" i="18"/>
  <c r="J87" i="18"/>
  <c r="J91" i="18"/>
  <c r="J92" i="18"/>
  <c r="J41" i="19" s="1"/>
  <c r="J93" i="18"/>
  <c r="J94" i="18"/>
  <c r="J95" i="18"/>
  <c r="J96" i="18"/>
  <c r="J97" i="18"/>
  <c r="J98" i="18"/>
  <c r="J99" i="18"/>
  <c r="J101" i="18"/>
  <c r="J102" i="18"/>
  <c r="J103" i="18"/>
  <c r="J104" i="18"/>
  <c r="J105" i="18"/>
  <c r="J106" i="18"/>
  <c r="J107" i="18"/>
  <c r="J109" i="18"/>
  <c r="J22" i="19" s="1"/>
  <c r="J114" i="18"/>
  <c r="J115" i="18"/>
  <c r="J116" i="18"/>
  <c r="J117" i="18"/>
  <c r="J118" i="18"/>
  <c r="J119" i="18"/>
  <c r="J120" i="18"/>
  <c r="J122" i="18"/>
  <c r="I60" i="18"/>
  <c r="I61" i="18"/>
  <c r="I62" i="18"/>
  <c r="I64" i="18"/>
  <c r="I65" i="18"/>
  <c r="I66" i="18"/>
  <c r="I67" i="18"/>
  <c r="I68" i="18"/>
  <c r="I69" i="18"/>
  <c r="I70" i="18"/>
  <c r="I71" i="18"/>
  <c r="I25" i="19" s="1"/>
  <c r="I73" i="18"/>
  <c r="I74" i="18"/>
  <c r="I75" i="18"/>
  <c r="I76" i="18"/>
  <c r="I77" i="18"/>
  <c r="I78" i="18"/>
  <c r="I79" i="18"/>
  <c r="I80" i="18"/>
  <c r="I81" i="18"/>
  <c r="I82" i="18"/>
  <c r="I83" i="18"/>
  <c r="I84" i="18"/>
  <c r="I85" i="18"/>
  <c r="I87" i="18"/>
  <c r="I91" i="18"/>
  <c r="I92" i="18"/>
  <c r="I41" i="19" s="1"/>
  <c r="I93" i="18"/>
  <c r="I94" i="18"/>
  <c r="I95" i="18"/>
  <c r="I96" i="18"/>
  <c r="I97" i="18"/>
  <c r="I98" i="18"/>
  <c r="I99" i="18"/>
  <c r="I101" i="18"/>
  <c r="I102" i="18"/>
  <c r="I103" i="18"/>
  <c r="I104" i="18"/>
  <c r="I105" i="18"/>
  <c r="I106" i="18"/>
  <c r="I107" i="18"/>
  <c r="I109" i="18"/>
  <c r="I114" i="18"/>
  <c r="I115" i="18"/>
  <c r="I116" i="18"/>
  <c r="I117" i="18"/>
  <c r="I118" i="18"/>
  <c r="I119" i="18"/>
  <c r="I120" i="18"/>
  <c r="I122" i="18"/>
  <c r="H60" i="18"/>
  <c r="H61" i="18"/>
  <c r="H62" i="18"/>
  <c r="H63" i="18"/>
  <c r="H64" i="18"/>
  <c r="H65" i="18"/>
  <c r="H66" i="18"/>
  <c r="H67" i="18"/>
  <c r="I30" i="19" s="1"/>
  <c r="I36" i="19" s="1"/>
  <c r="H68" i="18"/>
  <c r="H69" i="18"/>
  <c r="H70" i="18"/>
  <c r="H71" i="18"/>
  <c r="H25" i="19" s="1"/>
  <c r="H73" i="18"/>
  <c r="H74" i="18"/>
  <c r="H75" i="18"/>
  <c r="H76" i="18"/>
  <c r="H77" i="18"/>
  <c r="H78" i="18"/>
  <c r="H79" i="18"/>
  <c r="H80" i="18"/>
  <c r="H81" i="18"/>
  <c r="H82" i="18"/>
  <c r="H83" i="18"/>
  <c r="H84" i="18"/>
  <c r="H85" i="18"/>
  <c r="H87" i="18"/>
  <c r="H91" i="18"/>
  <c r="H92" i="18"/>
  <c r="H93" i="18"/>
  <c r="H94" i="18"/>
  <c r="H95" i="18"/>
  <c r="H96" i="18"/>
  <c r="H97" i="18"/>
  <c r="H98" i="18"/>
  <c r="H99" i="18"/>
  <c r="H101" i="18"/>
  <c r="H102" i="18"/>
  <c r="H103" i="18"/>
  <c r="H104" i="18"/>
  <c r="H105" i="18"/>
  <c r="H106" i="18"/>
  <c r="H107" i="18"/>
  <c r="H109" i="18"/>
  <c r="H22" i="19" s="1"/>
  <c r="H114" i="18"/>
  <c r="H115" i="18"/>
  <c r="H116" i="18"/>
  <c r="H117" i="18"/>
  <c r="H118" i="18"/>
  <c r="H119" i="18"/>
  <c r="H120" i="18"/>
  <c r="H122" i="18"/>
  <c r="G60" i="18"/>
  <c r="G61" i="18"/>
  <c r="G62" i="18"/>
  <c r="G63" i="18"/>
  <c r="G64" i="18"/>
  <c r="G65" i="18"/>
  <c r="G66" i="18"/>
  <c r="G67" i="18"/>
  <c r="G68" i="18"/>
  <c r="G69" i="18"/>
  <c r="G70" i="18"/>
  <c r="G71" i="18"/>
  <c r="G26" i="19" s="1"/>
  <c r="G73" i="18"/>
  <c r="G74" i="18"/>
  <c r="G75" i="18"/>
  <c r="G76" i="18"/>
  <c r="G77" i="18"/>
  <c r="G78" i="18"/>
  <c r="G79" i="18"/>
  <c r="G80" i="18"/>
  <c r="G81" i="18"/>
  <c r="G82" i="18"/>
  <c r="G83" i="18"/>
  <c r="G84" i="18"/>
  <c r="G85" i="18"/>
  <c r="G87" i="18"/>
  <c r="G40" i="19" s="1"/>
  <c r="G91" i="18"/>
  <c r="G92" i="18"/>
  <c r="G93" i="18"/>
  <c r="H29" i="19" s="1"/>
  <c r="H35" i="19" s="1"/>
  <c r="G94" i="18"/>
  <c r="G95" i="18"/>
  <c r="G96" i="18"/>
  <c r="G97" i="18"/>
  <c r="G98" i="18"/>
  <c r="G99" i="18"/>
  <c r="G101" i="18"/>
  <c r="G102" i="18"/>
  <c r="G103" i="18"/>
  <c r="G104" i="18"/>
  <c r="G105" i="18"/>
  <c r="G106" i="18"/>
  <c r="G107" i="18"/>
  <c r="G109" i="18"/>
  <c r="G22" i="19" s="1"/>
  <c r="G114" i="18"/>
  <c r="G115" i="18"/>
  <c r="G116" i="18"/>
  <c r="G117" i="18"/>
  <c r="G118" i="18"/>
  <c r="G119" i="18"/>
  <c r="G120" i="18"/>
  <c r="G122" i="18"/>
  <c r="F60" i="18"/>
  <c r="F61" i="18"/>
  <c r="F62" i="18"/>
  <c r="F63" i="18"/>
  <c r="F64" i="18"/>
  <c r="F65" i="18"/>
  <c r="F66" i="18"/>
  <c r="F67" i="18"/>
  <c r="F68" i="18"/>
  <c r="F69" i="18"/>
  <c r="F70" i="18"/>
  <c r="F71" i="18"/>
  <c r="F26" i="19" s="1"/>
  <c r="F73" i="18"/>
  <c r="F74" i="18"/>
  <c r="F75" i="18"/>
  <c r="F31" i="19" s="1"/>
  <c r="F76" i="18"/>
  <c r="F77" i="18"/>
  <c r="F78" i="18"/>
  <c r="F79" i="18"/>
  <c r="F80" i="18"/>
  <c r="F81" i="18"/>
  <c r="F82" i="18"/>
  <c r="F83" i="18"/>
  <c r="F84" i="18"/>
  <c r="F85" i="18"/>
  <c r="F87" i="18"/>
  <c r="F91" i="18"/>
  <c r="F92" i="18"/>
  <c r="F93" i="18"/>
  <c r="F94" i="18"/>
  <c r="F95" i="18"/>
  <c r="F96" i="18"/>
  <c r="F97" i="18"/>
  <c r="F98" i="18"/>
  <c r="F99" i="18"/>
  <c r="F101" i="18"/>
  <c r="F102" i="18"/>
  <c r="F103" i="18"/>
  <c r="F104" i="18"/>
  <c r="F105" i="18"/>
  <c r="F106" i="18"/>
  <c r="F107" i="18"/>
  <c r="F109" i="18"/>
  <c r="F22" i="19" s="1"/>
  <c r="F114" i="18"/>
  <c r="F115" i="18"/>
  <c r="F116" i="18"/>
  <c r="F117" i="18"/>
  <c r="F118" i="18"/>
  <c r="F119" i="18"/>
  <c r="F120" i="18"/>
  <c r="F122" i="18"/>
  <c r="E60" i="18"/>
  <c r="E61" i="18"/>
  <c r="E62" i="18"/>
  <c r="E28" i="19" s="1"/>
  <c r="E34" i="19" s="1"/>
  <c r="E63" i="18"/>
  <c r="E64" i="18"/>
  <c r="E65" i="18"/>
  <c r="E66" i="18"/>
  <c r="E67" i="18"/>
  <c r="E68" i="18"/>
  <c r="E69" i="18"/>
  <c r="E70" i="18"/>
  <c r="E71" i="18"/>
  <c r="E25" i="19" s="1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7" i="18"/>
  <c r="E91" i="18"/>
  <c r="E92" i="18"/>
  <c r="E41" i="19" s="1"/>
  <c r="E93" i="18"/>
  <c r="E94" i="18"/>
  <c r="E95" i="18"/>
  <c r="E96" i="18"/>
  <c r="E97" i="18"/>
  <c r="E98" i="18"/>
  <c r="E99" i="18"/>
  <c r="E101" i="18"/>
  <c r="E102" i="18"/>
  <c r="E103" i="18"/>
  <c r="E104" i="18"/>
  <c r="E105" i="18"/>
  <c r="E106" i="18"/>
  <c r="E107" i="18"/>
  <c r="E109" i="18"/>
  <c r="E114" i="18"/>
  <c r="E115" i="18"/>
  <c r="E116" i="18"/>
  <c r="E117" i="18"/>
  <c r="E118" i="18"/>
  <c r="E32" i="19" s="1"/>
  <c r="E119" i="18"/>
  <c r="E120" i="18"/>
  <c r="E122" i="18"/>
  <c r="D60" i="18"/>
  <c r="D61" i="18"/>
  <c r="D62" i="18"/>
  <c r="D63" i="18"/>
  <c r="D64" i="18"/>
  <c r="D65" i="18"/>
  <c r="D66" i="18"/>
  <c r="D67" i="18"/>
  <c r="D68" i="18"/>
  <c r="D69" i="18"/>
  <c r="D70" i="18"/>
  <c r="D71" i="18"/>
  <c r="D25" i="19" s="1"/>
  <c r="D73" i="18"/>
  <c r="D74" i="18"/>
  <c r="D75" i="18"/>
  <c r="D76" i="18"/>
  <c r="D77" i="18"/>
  <c r="D78" i="18"/>
  <c r="D79" i="18"/>
  <c r="D80" i="18"/>
  <c r="D81" i="18"/>
  <c r="D82" i="18"/>
  <c r="D83" i="18"/>
  <c r="D84" i="18"/>
  <c r="D85" i="18"/>
  <c r="D87" i="18"/>
  <c r="D91" i="18"/>
  <c r="D92" i="18"/>
  <c r="D93" i="18"/>
  <c r="D94" i="18"/>
  <c r="D95" i="18"/>
  <c r="D96" i="18"/>
  <c r="D97" i="18"/>
  <c r="D98" i="18"/>
  <c r="D99" i="18"/>
  <c r="D101" i="18"/>
  <c r="D102" i="18"/>
  <c r="D103" i="18"/>
  <c r="D104" i="18"/>
  <c r="D105" i="18"/>
  <c r="D106" i="18"/>
  <c r="D107" i="18"/>
  <c r="D109" i="18"/>
  <c r="D22" i="19" s="1"/>
  <c r="D114" i="18"/>
  <c r="D115" i="18"/>
  <c r="D116" i="18"/>
  <c r="D117" i="18"/>
  <c r="D118" i="18"/>
  <c r="D119" i="18"/>
  <c r="D120" i="18"/>
  <c r="D122" i="18"/>
  <c r="C60" i="18"/>
  <c r="C61" i="18"/>
  <c r="C62" i="18"/>
  <c r="C28" i="19" s="1"/>
  <c r="C34" i="19" s="1"/>
  <c r="C63" i="18"/>
  <c r="C64" i="18"/>
  <c r="C65" i="18"/>
  <c r="C66" i="18"/>
  <c r="C67" i="18"/>
  <c r="D30" i="19" s="1"/>
  <c r="D36" i="19" s="1"/>
  <c r="C68" i="18"/>
  <c r="C69" i="18"/>
  <c r="C70" i="18"/>
  <c r="C71" i="18"/>
  <c r="C25" i="19" s="1"/>
  <c r="C73" i="18"/>
  <c r="C74" i="18"/>
  <c r="C75" i="18"/>
  <c r="C76" i="18"/>
  <c r="C77" i="18"/>
  <c r="C78" i="18"/>
  <c r="C79" i="18"/>
  <c r="C80" i="18"/>
  <c r="C81" i="18"/>
  <c r="C82" i="18"/>
  <c r="C83" i="18"/>
  <c r="C84" i="18"/>
  <c r="C85" i="18"/>
  <c r="C87" i="18"/>
  <c r="C40" i="19" s="1"/>
  <c r="C91" i="18"/>
  <c r="C92" i="18"/>
  <c r="C93" i="18"/>
  <c r="C94" i="18"/>
  <c r="C95" i="18"/>
  <c r="C96" i="18"/>
  <c r="C97" i="18"/>
  <c r="C98" i="18"/>
  <c r="C99" i="18"/>
  <c r="C101" i="18"/>
  <c r="C102" i="18"/>
  <c r="C103" i="18"/>
  <c r="C104" i="18"/>
  <c r="C105" i="18"/>
  <c r="C106" i="18"/>
  <c r="C107" i="18"/>
  <c r="C109" i="18"/>
  <c r="C114" i="18"/>
  <c r="C115" i="18"/>
  <c r="C116" i="18"/>
  <c r="C117" i="18"/>
  <c r="C118" i="18"/>
  <c r="C32" i="19" s="1"/>
  <c r="C119" i="18"/>
  <c r="C120" i="18"/>
  <c r="C122" i="18"/>
  <c r="D59" i="18"/>
  <c r="E59" i="18"/>
  <c r="F59" i="18"/>
  <c r="G59" i="18"/>
  <c r="H59" i="18"/>
  <c r="I59" i="18"/>
  <c r="J59" i="18"/>
  <c r="K59" i="18"/>
  <c r="L59" i="18"/>
  <c r="C59" i="18"/>
  <c r="D52" i="18"/>
  <c r="E52" i="18"/>
  <c r="F52" i="18"/>
  <c r="G52" i="18"/>
  <c r="H52" i="18"/>
  <c r="I52" i="18"/>
  <c r="J52" i="18"/>
  <c r="K52" i="18"/>
  <c r="L52" i="18"/>
  <c r="C52" i="18"/>
  <c r="D50" i="18"/>
  <c r="E50" i="18"/>
  <c r="F50" i="18"/>
  <c r="G50" i="18"/>
  <c r="H50" i="18"/>
  <c r="I50" i="18"/>
  <c r="J50" i="18"/>
  <c r="K50" i="18"/>
  <c r="L50" i="18"/>
  <c r="C50" i="18"/>
  <c r="D39" i="18"/>
  <c r="E39" i="18"/>
  <c r="F39" i="18"/>
  <c r="G39" i="18"/>
  <c r="H39" i="18"/>
  <c r="I39" i="18"/>
  <c r="J39" i="18"/>
  <c r="K39" i="18"/>
  <c r="L39" i="18"/>
  <c r="C39" i="18"/>
  <c r="D33" i="18"/>
  <c r="E33" i="18"/>
  <c r="F33" i="18"/>
  <c r="G33" i="18"/>
  <c r="H33" i="18"/>
  <c r="I33" i="18"/>
  <c r="J33" i="18"/>
  <c r="K33" i="18"/>
  <c r="L33" i="18"/>
  <c r="C33" i="18"/>
  <c r="D27" i="18"/>
  <c r="E27" i="18"/>
  <c r="F27" i="18"/>
  <c r="G27" i="18"/>
  <c r="H27" i="18"/>
  <c r="I27" i="18"/>
  <c r="J27" i="18"/>
  <c r="K27" i="18"/>
  <c r="L27" i="18"/>
  <c r="C27" i="18"/>
  <c r="L24" i="18"/>
  <c r="K24" i="18"/>
  <c r="J24" i="18"/>
  <c r="I24" i="18"/>
  <c r="H24" i="18"/>
  <c r="G24" i="18"/>
  <c r="F24" i="18"/>
  <c r="E24" i="18"/>
  <c r="D24" i="18"/>
  <c r="C24" i="18"/>
  <c r="L21" i="18"/>
  <c r="K21" i="18"/>
  <c r="J21" i="18"/>
  <c r="I21" i="18"/>
  <c r="H21" i="18"/>
  <c r="G21" i="18"/>
  <c r="F21" i="18"/>
  <c r="E21" i="18"/>
  <c r="D21" i="18"/>
  <c r="C21" i="18"/>
  <c r="D15" i="18"/>
  <c r="E15" i="18"/>
  <c r="F15" i="18"/>
  <c r="G15" i="18"/>
  <c r="H15" i="18"/>
  <c r="I15" i="18"/>
  <c r="J15" i="18"/>
  <c r="K15" i="18"/>
  <c r="L15" i="18"/>
  <c r="C15" i="18"/>
  <c r="D9" i="18"/>
  <c r="D29" i="19" s="1"/>
  <c r="D35" i="19" s="1"/>
  <c r="E9" i="18"/>
  <c r="E29" i="19" s="1"/>
  <c r="E35" i="19" s="1"/>
  <c r="F9" i="18"/>
  <c r="F30" i="19" s="1"/>
  <c r="F36" i="19" s="1"/>
  <c r="G9" i="18"/>
  <c r="H9" i="18"/>
  <c r="I9" i="18"/>
  <c r="I29" i="19" s="1"/>
  <c r="I35" i="19" s="1"/>
  <c r="J9" i="18"/>
  <c r="J30" i="19" s="1"/>
  <c r="J36" i="19" s="1"/>
  <c r="K9" i="18"/>
  <c r="L9" i="18"/>
  <c r="C9" i="18"/>
  <c r="C30" i="19" s="1"/>
  <c r="D6" i="18"/>
  <c r="D31" i="19" s="1"/>
  <c r="E6" i="18"/>
  <c r="E31" i="19" s="1"/>
  <c r="F6" i="18"/>
  <c r="G6" i="18"/>
  <c r="G31" i="19" s="1"/>
  <c r="H6" i="18"/>
  <c r="H31" i="19" s="1"/>
  <c r="I6" i="18"/>
  <c r="I31" i="19" s="1"/>
  <c r="J6" i="18"/>
  <c r="K6" i="18"/>
  <c r="K31" i="19" s="1"/>
  <c r="L6" i="18"/>
  <c r="L31" i="19" s="1"/>
  <c r="C6" i="18"/>
  <c r="C39" i="19" s="1"/>
  <c r="D3" i="18"/>
  <c r="E3" i="18" s="1"/>
  <c r="F3" i="18" s="1"/>
  <c r="G3" i="18" s="1"/>
  <c r="H3" i="18" s="1"/>
  <c r="I3" i="18" s="1"/>
  <c r="J3" i="18" s="1"/>
  <c r="K3" i="18" s="1"/>
  <c r="L3" i="18" s="1"/>
  <c r="L40" i="17" l="1"/>
  <c r="J39" i="19"/>
  <c r="F39" i="19"/>
  <c r="L40" i="19"/>
  <c r="E40" i="19"/>
  <c r="I40" i="19"/>
  <c r="T21" i="22"/>
  <c r="F23" i="17"/>
  <c r="G23" i="17"/>
  <c r="E23" i="17"/>
  <c r="C23" i="17"/>
  <c r="D26" i="17"/>
  <c r="H41" i="19"/>
  <c r="L41" i="19"/>
  <c r="D41" i="19"/>
  <c r="C41" i="19"/>
  <c r="G41" i="19"/>
  <c r="K40" i="19"/>
  <c r="D40" i="19"/>
  <c r="F41" i="19"/>
  <c r="H40" i="19"/>
  <c r="O25" i="19"/>
  <c r="C22" i="19"/>
  <c r="G25" i="19"/>
  <c r="N25" i="19" s="1"/>
  <c r="J25" i="19"/>
  <c r="F25" i="19"/>
  <c r="L26" i="19"/>
  <c r="H26" i="19"/>
  <c r="D26" i="19"/>
  <c r="C26" i="19"/>
  <c r="L30" i="19"/>
  <c r="L36" i="19" s="1"/>
  <c r="H30" i="19"/>
  <c r="H36" i="19" s="1"/>
  <c r="K30" i="19"/>
  <c r="K36" i="19" s="1"/>
  <c r="G30" i="19"/>
  <c r="G36" i="19" s="1"/>
  <c r="K124" i="18"/>
  <c r="C36" i="19"/>
  <c r="D28" i="19"/>
  <c r="D34" i="19" s="1"/>
  <c r="H28" i="19"/>
  <c r="H34" i="19" s="1"/>
  <c r="H37" i="19" s="1"/>
  <c r="I28" i="19"/>
  <c r="I34" i="19" s="1"/>
  <c r="K29" i="19"/>
  <c r="K35" i="19" s="1"/>
  <c r="G29" i="19"/>
  <c r="G35" i="19" s="1"/>
  <c r="C31" i="19"/>
  <c r="L32" i="19"/>
  <c r="H32" i="19"/>
  <c r="D32" i="19"/>
  <c r="L39" i="19"/>
  <c r="H39" i="19"/>
  <c r="D39" i="19"/>
  <c r="G28" i="19"/>
  <c r="G34" i="19" s="1"/>
  <c r="L28" i="19"/>
  <c r="L34" i="19" s="1"/>
  <c r="L37" i="19" s="1"/>
  <c r="C29" i="19"/>
  <c r="J29" i="19"/>
  <c r="J35" i="19" s="1"/>
  <c r="J37" i="19" s="1"/>
  <c r="F29" i="19"/>
  <c r="F35" i="19" s="1"/>
  <c r="K32" i="19"/>
  <c r="O32" i="19" s="1"/>
  <c r="G32" i="19"/>
  <c r="K39" i="19"/>
  <c r="G39" i="19"/>
  <c r="F28" i="19"/>
  <c r="F34" i="19" s="1"/>
  <c r="F37" i="19" s="1"/>
  <c r="K28" i="19"/>
  <c r="K34" i="19" s="1"/>
  <c r="J32" i="19"/>
  <c r="F32" i="19"/>
  <c r="N28" i="19"/>
  <c r="E37" i="19"/>
  <c r="K37" i="19"/>
  <c r="I37" i="19"/>
  <c r="D124" i="18"/>
  <c r="H124" i="18"/>
  <c r="L124" i="18"/>
  <c r="C124" i="18"/>
  <c r="G124" i="18"/>
  <c r="F124" i="18"/>
  <c r="J124" i="18"/>
  <c r="D51" i="18"/>
  <c r="I51" i="18"/>
  <c r="E124" i="18"/>
  <c r="I124" i="18"/>
  <c r="E53" i="18"/>
  <c r="I53" i="18"/>
  <c r="D53" i="18"/>
  <c r="E51" i="18"/>
  <c r="K53" i="18"/>
  <c r="G53" i="18"/>
  <c r="L51" i="18"/>
  <c r="H51" i="18"/>
  <c r="J53" i="18"/>
  <c r="F53" i="18"/>
  <c r="K7" i="18"/>
  <c r="K5" i="19" s="1"/>
  <c r="G7" i="18"/>
  <c r="G5" i="19" s="1"/>
  <c r="K51" i="18"/>
  <c r="G51" i="18"/>
  <c r="J51" i="18"/>
  <c r="F51" i="18"/>
  <c r="H53" i="18"/>
  <c r="L53" i="18"/>
  <c r="C12" i="18"/>
  <c r="C13" i="18" s="1"/>
  <c r="C11" i="19" s="1"/>
  <c r="I12" i="18"/>
  <c r="E12" i="18"/>
  <c r="D40" i="18"/>
  <c r="J10" i="18"/>
  <c r="J16" i="19" s="1"/>
  <c r="F10" i="18"/>
  <c r="F16" i="19" s="1"/>
  <c r="F22" i="18"/>
  <c r="J22" i="18"/>
  <c r="K40" i="18"/>
  <c r="G40" i="18"/>
  <c r="L7" i="18"/>
  <c r="L5" i="19" s="1"/>
  <c r="H7" i="18"/>
  <c r="H5" i="19" s="1"/>
  <c r="J28" i="18"/>
  <c r="F28" i="18"/>
  <c r="J40" i="18"/>
  <c r="F40" i="18"/>
  <c r="H40" i="18"/>
  <c r="L40" i="18"/>
  <c r="G25" i="18"/>
  <c r="K25" i="18"/>
  <c r="C40" i="18"/>
  <c r="I40" i="18"/>
  <c r="E40" i="18"/>
  <c r="G22" i="18"/>
  <c r="K22" i="18"/>
  <c r="J12" i="18"/>
  <c r="F12" i="18"/>
  <c r="J16" i="18"/>
  <c r="J17" i="19" s="1"/>
  <c r="F16" i="18"/>
  <c r="F17" i="19" s="1"/>
  <c r="F25" i="18"/>
  <c r="J25" i="18"/>
  <c r="D7" i="18"/>
  <c r="D5" i="19" s="1"/>
  <c r="H10" i="18"/>
  <c r="H16" i="19" s="1"/>
  <c r="L16" i="18"/>
  <c r="L17" i="19" s="1"/>
  <c r="D16" i="18"/>
  <c r="D17" i="19" s="1"/>
  <c r="H22" i="18"/>
  <c r="D25" i="18"/>
  <c r="L25" i="18"/>
  <c r="L28" i="18"/>
  <c r="D28" i="18"/>
  <c r="K10" i="18"/>
  <c r="K16" i="19" s="1"/>
  <c r="G10" i="18"/>
  <c r="G16" i="19" s="1"/>
  <c r="K16" i="18"/>
  <c r="K17" i="19" s="1"/>
  <c r="G16" i="18"/>
  <c r="G17" i="19" s="1"/>
  <c r="E22" i="18"/>
  <c r="I22" i="18"/>
  <c r="E25" i="18"/>
  <c r="I25" i="18"/>
  <c r="K28" i="18"/>
  <c r="G28" i="18"/>
  <c r="L12" i="18"/>
  <c r="D10" i="18"/>
  <c r="D16" i="19" s="1"/>
  <c r="H16" i="18"/>
  <c r="H17" i="19" s="1"/>
  <c r="D22" i="18"/>
  <c r="L22" i="18"/>
  <c r="H25" i="18"/>
  <c r="H28" i="18"/>
  <c r="J18" i="18"/>
  <c r="H12" i="18"/>
  <c r="D12" i="18"/>
  <c r="C25" i="18"/>
  <c r="C28" i="18"/>
  <c r="I28" i="18"/>
  <c r="I7" i="18"/>
  <c r="I5" i="19" s="1"/>
  <c r="E7" i="18"/>
  <c r="E5" i="19" s="1"/>
  <c r="L10" i="18"/>
  <c r="L16" i="19" s="1"/>
  <c r="J7" i="18"/>
  <c r="J5" i="19" s="1"/>
  <c r="F7" i="18"/>
  <c r="F5" i="19" s="1"/>
  <c r="C10" i="18"/>
  <c r="C16" i="19" s="1"/>
  <c r="I10" i="18"/>
  <c r="I16" i="19" s="1"/>
  <c r="E10" i="18"/>
  <c r="E16" i="19" s="1"/>
  <c r="K12" i="18"/>
  <c r="K6" i="19" s="1"/>
  <c r="G12" i="18"/>
  <c r="G6" i="19" s="1"/>
  <c r="C16" i="18"/>
  <c r="C17" i="19" s="1"/>
  <c r="I16" i="18"/>
  <c r="I17" i="19" s="1"/>
  <c r="E16" i="18"/>
  <c r="E17" i="19" s="1"/>
  <c r="C22" i="18"/>
  <c r="E28" i="18"/>
  <c r="O40" i="19" l="1"/>
  <c r="N39" i="19"/>
  <c r="N41" i="19"/>
  <c r="E26" i="17"/>
  <c r="C26" i="17"/>
  <c r="G26" i="17"/>
  <c r="F26" i="17"/>
  <c r="O39" i="19"/>
  <c r="O41" i="19"/>
  <c r="N40" i="19"/>
  <c r="N32" i="19"/>
  <c r="G37" i="19"/>
  <c r="N22" i="19"/>
  <c r="O22" i="19"/>
  <c r="O34" i="19"/>
  <c r="N30" i="19"/>
  <c r="O26" i="19"/>
  <c r="N26" i="19"/>
  <c r="O30" i="19"/>
  <c r="N34" i="19"/>
  <c r="D6" i="19"/>
  <c r="O5" i="19"/>
  <c r="N5" i="19"/>
  <c r="D37" i="19"/>
  <c r="O16" i="19"/>
  <c r="N16" i="19"/>
  <c r="H6" i="19"/>
  <c r="L18" i="18"/>
  <c r="L6" i="19"/>
  <c r="F13" i="18"/>
  <c r="F11" i="19" s="1"/>
  <c r="F6" i="19"/>
  <c r="E18" i="18"/>
  <c r="E6" i="19"/>
  <c r="N17" i="19"/>
  <c r="O17" i="19"/>
  <c r="J23" i="19"/>
  <c r="J19" i="19"/>
  <c r="J13" i="18"/>
  <c r="J11" i="19" s="1"/>
  <c r="J6" i="19"/>
  <c r="I13" i="18"/>
  <c r="I11" i="19" s="1"/>
  <c r="I6" i="19"/>
  <c r="C35" i="19"/>
  <c r="N29" i="19"/>
  <c r="O29" i="19"/>
  <c r="O28" i="19"/>
  <c r="O31" i="19"/>
  <c r="N31" i="19"/>
  <c r="O36" i="19"/>
  <c r="N36" i="19"/>
  <c r="E13" i="18"/>
  <c r="E11" i="19" s="1"/>
  <c r="O11" i="19" s="1"/>
  <c r="C18" i="18"/>
  <c r="I18" i="18"/>
  <c r="F18" i="18"/>
  <c r="L13" i="18"/>
  <c r="L11" i="19" s="1"/>
  <c r="G13" i="18"/>
  <c r="G11" i="19" s="1"/>
  <c r="G18" i="18"/>
  <c r="L30" i="18"/>
  <c r="L19" i="18"/>
  <c r="L12" i="19" s="1"/>
  <c r="K13" i="18"/>
  <c r="K11" i="19" s="1"/>
  <c r="K18" i="18"/>
  <c r="D13" i="18"/>
  <c r="D11" i="19" s="1"/>
  <c r="N11" i="19" s="1"/>
  <c r="D18" i="18"/>
  <c r="J30" i="18"/>
  <c r="J19" i="18"/>
  <c r="J12" i="19" s="1"/>
  <c r="H18" i="18"/>
  <c r="H13" i="18"/>
  <c r="H11" i="19" s="1"/>
  <c r="E30" i="18"/>
  <c r="E19" i="18"/>
  <c r="E12" i="19" s="1"/>
  <c r="C30" i="18"/>
  <c r="C36" i="18" s="1"/>
  <c r="D172" i="17"/>
  <c r="E172" i="17"/>
  <c r="F172" i="17"/>
  <c r="G172" i="17"/>
  <c r="C172" i="17"/>
  <c r="D151" i="17"/>
  <c r="E151" i="17"/>
  <c r="F151" i="17"/>
  <c r="G151" i="17"/>
  <c r="G162" i="17"/>
  <c r="D162" i="17"/>
  <c r="E162" i="17"/>
  <c r="F162" i="17"/>
  <c r="C162" i="17"/>
  <c r="C151" i="17"/>
  <c r="D126" i="17"/>
  <c r="D128" i="17" s="1"/>
  <c r="E126" i="17"/>
  <c r="E128" i="17" s="1"/>
  <c r="F126" i="17"/>
  <c r="F128" i="17" s="1"/>
  <c r="G126" i="17"/>
  <c r="G128" i="17" s="1"/>
  <c r="C126" i="17"/>
  <c r="C128" i="17" s="1"/>
  <c r="D117" i="17"/>
  <c r="E117" i="17"/>
  <c r="F117" i="17"/>
  <c r="G117" i="17"/>
  <c r="C117" i="17"/>
  <c r="D110" i="17"/>
  <c r="E110" i="17"/>
  <c r="F110" i="17"/>
  <c r="G110" i="17"/>
  <c r="C110" i="17"/>
  <c r="D87" i="17"/>
  <c r="D97" i="17" s="1"/>
  <c r="E87" i="17"/>
  <c r="F87" i="17"/>
  <c r="F97" i="17" s="1"/>
  <c r="G87" i="17"/>
  <c r="G97" i="17" s="1"/>
  <c r="C87" i="17"/>
  <c r="C97" i="17" s="1"/>
  <c r="D84" i="17"/>
  <c r="E84" i="17"/>
  <c r="F84" i="17"/>
  <c r="G84" i="17"/>
  <c r="C84" i="17"/>
  <c r="D62" i="17"/>
  <c r="E62" i="17"/>
  <c r="F62" i="17"/>
  <c r="G62" i="17"/>
  <c r="C62" i="17"/>
  <c r="D55" i="17"/>
  <c r="E55" i="17"/>
  <c r="F55" i="17"/>
  <c r="G55" i="17"/>
  <c r="C55" i="17"/>
  <c r="D51" i="17"/>
  <c r="E51" i="17"/>
  <c r="F51" i="17"/>
  <c r="G51" i="17"/>
  <c r="C51" i="17"/>
  <c r="E97" i="17" l="1"/>
  <c r="E98" i="17" s="1"/>
  <c r="C154" i="17"/>
  <c r="C174" i="17"/>
  <c r="C176" i="17" s="1"/>
  <c r="E154" i="17"/>
  <c r="E174" i="17"/>
  <c r="E176" i="17" s="1"/>
  <c r="F154" i="17"/>
  <c r="F174" i="17"/>
  <c r="F176" i="17" s="1"/>
  <c r="D154" i="17"/>
  <c r="D174" i="17"/>
  <c r="D176" i="17" s="1"/>
  <c r="G154" i="17"/>
  <c r="G174" i="17"/>
  <c r="G176" i="17" s="1"/>
  <c r="H175" i="17" s="1"/>
  <c r="K19" i="19"/>
  <c r="K23" i="19"/>
  <c r="K7" i="19"/>
  <c r="I30" i="18"/>
  <c r="I23" i="19"/>
  <c r="I19" i="19"/>
  <c r="I7" i="19"/>
  <c r="O6" i="19"/>
  <c r="N6" i="19"/>
  <c r="E36" i="18"/>
  <c r="E8" i="19"/>
  <c r="J36" i="18"/>
  <c r="J42" i="18" s="1"/>
  <c r="C19" i="18"/>
  <c r="C12" i="19" s="1"/>
  <c r="C23" i="19"/>
  <c r="C19" i="19"/>
  <c r="E23" i="19"/>
  <c r="E19" i="19"/>
  <c r="E7" i="19"/>
  <c r="L23" i="19"/>
  <c r="L19" i="19"/>
  <c r="L7" i="19"/>
  <c r="G23" i="19"/>
  <c r="G7" i="19"/>
  <c r="G19" i="19"/>
  <c r="D23" i="19"/>
  <c r="D19" i="19"/>
  <c r="D7" i="19"/>
  <c r="O35" i="19"/>
  <c r="N35" i="19"/>
  <c r="C37" i="19"/>
  <c r="H23" i="19"/>
  <c r="H19" i="19"/>
  <c r="H7" i="19"/>
  <c r="L36" i="18"/>
  <c r="L42" i="18" s="1"/>
  <c r="L8" i="19"/>
  <c r="F30" i="18"/>
  <c r="F34" i="18" s="1"/>
  <c r="F23" i="19"/>
  <c r="F19" i="19"/>
  <c r="F7" i="19"/>
  <c r="J7" i="19"/>
  <c r="F19" i="18"/>
  <c r="F12" i="19" s="1"/>
  <c r="I19" i="18"/>
  <c r="I12" i="19" s="1"/>
  <c r="E42" i="18"/>
  <c r="E37" i="18"/>
  <c r="L37" i="18"/>
  <c r="C42" i="18"/>
  <c r="C37" i="18"/>
  <c r="K19" i="18"/>
  <c r="K12" i="19" s="1"/>
  <c r="K30" i="18"/>
  <c r="F31" i="18"/>
  <c r="F13" i="19" s="1"/>
  <c r="C34" i="18"/>
  <c r="C31" i="18"/>
  <c r="C13" i="19" s="1"/>
  <c r="H19" i="18"/>
  <c r="H12" i="19" s="1"/>
  <c r="H30" i="18"/>
  <c r="J34" i="18"/>
  <c r="J31" i="18"/>
  <c r="J13" i="19" s="1"/>
  <c r="D30" i="18"/>
  <c r="D19" i="18"/>
  <c r="D12" i="19" s="1"/>
  <c r="G19" i="18"/>
  <c r="G12" i="19" s="1"/>
  <c r="G30" i="18"/>
  <c r="E34" i="18"/>
  <c r="E31" i="18"/>
  <c r="E13" i="19" s="1"/>
  <c r="I34" i="18"/>
  <c r="L31" i="18"/>
  <c r="L13" i="19" s="1"/>
  <c r="L34" i="18"/>
  <c r="D98" i="17"/>
  <c r="E118" i="17"/>
  <c r="E129" i="17" s="1"/>
  <c r="C118" i="17"/>
  <c r="C129" i="17" s="1"/>
  <c r="D118" i="17"/>
  <c r="D129" i="17" s="1"/>
  <c r="C98" i="17"/>
  <c r="F98" i="17"/>
  <c r="F118" i="17"/>
  <c r="F129" i="17" s="1"/>
  <c r="F131" i="17" s="1"/>
  <c r="G98" i="17"/>
  <c r="G118" i="17"/>
  <c r="E63" i="17"/>
  <c r="E65" i="17" s="1"/>
  <c r="E66" i="17" s="1"/>
  <c r="G63" i="17"/>
  <c r="G65" i="17" s="1"/>
  <c r="G66" i="17" s="1"/>
  <c r="C63" i="17"/>
  <c r="C65" i="17" s="1"/>
  <c r="C66" i="17" s="1"/>
  <c r="D63" i="17"/>
  <c r="D65" i="17" s="1"/>
  <c r="D66" i="17" s="1"/>
  <c r="F63" i="17"/>
  <c r="F65" i="17" s="1"/>
  <c r="F66" i="17" s="1"/>
  <c r="C131" i="17" l="1"/>
  <c r="D132" i="17"/>
  <c r="F132" i="17"/>
  <c r="E131" i="17"/>
  <c r="E132" i="17"/>
  <c r="C132" i="17"/>
  <c r="D131" i="17"/>
  <c r="J20" i="19"/>
  <c r="J21" i="19"/>
  <c r="L21" i="19"/>
  <c r="L20" i="19"/>
  <c r="E21" i="19"/>
  <c r="E20" i="19"/>
  <c r="N7" i="19"/>
  <c r="O7" i="19"/>
  <c r="N19" i="19"/>
  <c r="O19" i="19"/>
  <c r="I36" i="18"/>
  <c r="I8" i="19"/>
  <c r="H36" i="18"/>
  <c r="H42" i="18" s="1"/>
  <c r="H8" i="19"/>
  <c r="J37" i="18"/>
  <c r="O23" i="19"/>
  <c r="N23" i="19"/>
  <c r="D36" i="18"/>
  <c r="D8" i="19"/>
  <c r="N12" i="19"/>
  <c r="O12" i="19"/>
  <c r="C21" i="19"/>
  <c r="C20" i="19"/>
  <c r="N37" i="19"/>
  <c r="O37" i="19"/>
  <c r="I31" i="18"/>
  <c r="I13" i="19" s="1"/>
  <c r="G36" i="18"/>
  <c r="G8" i="19"/>
  <c r="N13" i="19"/>
  <c r="K36" i="18"/>
  <c r="K8" i="19"/>
  <c r="F36" i="18"/>
  <c r="F8" i="19"/>
  <c r="J8" i="19"/>
  <c r="J43" i="18"/>
  <c r="J14" i="19" s="1"/>
  <c r="J47" i="18"/>
  <c r="J46" i="18"/>
  <c r="L43" i="18"/>
  <c r="L14" i="19" s="1"/>
  <c r="L46" i="18"/>
  <c r="L47" i="18"/>
  <c r="C43" i="18"/>
  <c r="C14" i="19" s="1"/>
  <c r="C46" i="18"/>
  <c r="C47" i="18"/>
  <c r="E43" i="18"/>
  <c r="E14" i="19" s="1"/>
  <c r="E46" i="18"/>
  <c r="E47" i="18"/>
  <c r="G42" i="18"/>
  <c r="G37" i="18"/>
  <c r="K42" i="18"/>
  <c r="L9" i="19" s="1"/>
  <c r="K37" i="18"/>
  <c r="D42" i="18"/>
  <c r="D37" i="18"/>
  <c r="H31" i="18"/>
  <c r="H13" i="19" s="1"/>
  <c r="H34" i="18"/>
  <c r="D31" i="18"/>
  <c r="D13" i="19" s="1"/>
  <c r="O13" i="19" s="1"/>
  <c r="D34" i="18"/>
  <c r="G31" i="18"/>
  <c r="G13" i="19" s="1"/>
  <c r="G34" i="18"/>
  <c r="K31" i="18"/>
  <c r="K13" i="19" s="1"/>
  <c r="K34" i="18"/>
  <c r="G129" i="17"/>
  <c r="G131" i="17" s="1"/>
  <c r="G132" i="17" l="1"/>
  <c r="H21" i="19"/>
  <c r="H20" i="19"/>
  <c r="H9" i="19"/>
  <c r="D21" i="19"/>
  <c r="D9" i="19"/>
  <c r="D20" i="19"/>
  <c r="H37" i="18"/>
  <c r="N8" i="19"/>
  <c r="O8" i="19"/>
  <c r="I37" i="18"/>
  <c r="I42" i="18"/>
  <c r="F42" i="18"/>
  <c r="F37" i="18"/>
  <c r="G20" i="19"/>
  <c r="G21" i="19"/>
  <c r="K20" i="19"/>
  <c r="K9" i="19"/>
  <c r="K21" i="19"/>
  <c r="E9" i="19"/>
  <c r="K43" i="18"/>
  <c r="K14" i="19" s="1"/>
  <c r="K47" i="18"/>
  <c r="K46" i="18"/>
  <c r="H43" i="18"/>
  <c r="H14" i="19" s="1"/>
  <c r="H46" i="18"/>
  <c r="H47" i="18"/>
  <c r="D43" i="18"/>
  <c r="D14" i="19" s="1"/>
  <c r="D46" i="18"/>
  <c r="D47" i="18"/>
  <c r="G43" i="18"/>
  <c r="G14" i="19" s="1"/>
  <c r="G46" i="18"/>
  <c r="G47" i="18"/>
  <c r="D5" i="17"/>
  <c r="E5" i="17" s="1"/>
  <c r="F5" i="17" s="1"/>
  <c r="G5" i="17" s="1"/>
  <c r="H5" i="17" s="1"/>
  <c r="H38" i="17" l="1"/>
  <c r="H35" i="17"/>
  <c r="H32" i="17"/>
  <c r="H36" i="17"/>
  <c r="H30" i="17"/>
  <c r="H9" i="17"/>
  <c r="H34" i="17"/>
  <c r="F20" i="19"/>
  <c r="F9" i="19"/>
  <c r="O9" i="19" s="1"/>
  <c r="F21" i="19"/>
  <c r="F43" i="18"/>
  <c r="F14" i="19" s="1"/>
  <c r="F46" i="18"/>
  <c r="F47" i="18"/>
  <c r="G9" i="19"/>
  <c r="I20" i="19"/>
  <c r="I21" i="19"/>
  <c r="I9" i="19"/>
  <c r="J9" i="19"/>
  <c r="I43" i="18"/>
  <c r="I14" i="19" s="1"/>
  <c r="I47" i="18"/>
  <c r="I46" i="18"/>
  <c r="H47" i="17"/>
  <c r="H64" i="17"/>
  <c r="H58" i="17"/>
  <c r="H57" i="17"/>
  <c r="H53" i="17"/>
  <c r="H60" i="17"/>
  <c r="H61" i="17"/>
  <c r="H59" i="17"/>
  <c r="H49" i="17"/>
  <c r="H51" i="17" s="1"/>
  <c r="H54" i="17"/>
  <c r="I5" i="17"/>
  <c r="H24" i="17" l="1"/>
  <c r="H173" i="17"/>
  <c r="H169" i="17"/>
  <c r="H165" i="17"/>
  <c r="H171" i="17"/>
  <c r="H168" i="17"/>
  <c r="H166" i="17"/>
  <c r="H164" i="17"/>
  <c r="H158" i="17"/>
  <c r="H155" i="17"/>
  <c r="H156" i="17"/>
  <c r="H161" i="17"/>
  <c r="H157" i="17"/>
  <c r="H153" i="17"/>
  <c r="H147" i="17"/>
  <c r="H146" i="17"/>
  <c r="H141" i="17"/>
  <c r="H148" i="17"/>
  <c r="H142" i="17"/>
  <c r="H140" i="17"/>
  <c r="H149" i="17"/>
  <c r="H143" i="17"/>
  <c r="H150" i="17"/>
  <c r="H144" i="17"/>
  <c r="I38" i="17"/>
  <c r="I35" i="17"/>
  <c r="I32" i="17"/>
  <c r="I36" i="17"/>
  <c r="I30" i="17"/>
  <c r="I34" i="17"/>
  <c r="I9" i="17"/>
  <c r="H18" i="17"/>
  <c r="H10" i="17"/>
  <c r="H12" i="17" s="1"/>
  <c r="H29" i="17"/>
  <c r="H17" i="17"/>
  <c r="H13" i="17"/>
  <c r="H16" i="17"/>
  <c r="N9" i="19"/>
  <c r="N14" i="19"/>
  <c r="O14" i="19"/>
  <c r="N20" i="19"/>
  <c r="O20" i="19"/>
  <c r="O21" i="19"/>
  <c r="N21" i="19"/>
  <c r="H55" i="17"/>
  <c r="I64" i="17"/>
  <c r="I61" i="17"/>
  <c r="I59" i="17"/>
  <c r="I58" i="17"/>
  <c r="I57" i="17"/>
  <c r="I53" i="17"/>
  <c r="I54" i="17"/>
  <c r="I60" i="17"/>
  <c r="I49" i="17"/>
  <c r="I51" i="17" s="1"/>
  <c r="I47" i="17"/>
  <c r="H62" i="17"/>
  <c r="J5" i="17"/>
  <c r="I24" i="17" l="1"/>
  <c r="I173" i="17"/>
  <c r="I171" i="17"/>
  <c r="I169" i="17"/>
  <c r="I168" i="17"/>
  <c r="I166" i="17"/>
  <c r="I165" i="17"/>
  <c r="I164" i="17"/>
  <c r="H172" i="17"/>
  <c r="I157" i="17"/>
  <c r="I158" i="17"/>
  <c r="I156" i="17"/>
  <c r="I153" i="17"/>
  <c r="I155" i="17"/>
  <c r="I161" i="17"/>
  <c r="I150" i="17"/>
  <c r="I149" i="17"/>
  <c r="I148" i="17"/>
  <c r="I147" i="17"/>
  <c r="I146" i="17"/>
  <c r="I141" i="17"/>
  <c r="I140" i="17"/>
  <c r="I144" i="17"/>
  <c r="I143" i="17"/>
  <c r="I142" i="17"/>
  <c r="J34" i="17"/>
  <c r="J9" i="17"/>
  <c r="J38" i="17"/>
  <c r="J35" i="17"/>
  <c r="J32" i="17"/>
  <c r="J36" i="17"/>
  <c r="J30" i="17"/>
  <c r="H31" i="17"/>
  <c r="H15" i="17"/>
  <c r="I29" i="17"/>
  <c r="I17" i="17"/>
  <c r="I18" i="17"/>
  <c r="I13" i="17"/>
  <c r="I16" i="17"/>
  <c r="I10" i="17"/>
  <c r="H63" i="17"/>
  <c r="H65" i="17" s="1"/>
  <c r="I55" i="17"/>
  <c r="J54" i="17"/>
  <c r="J47" i="17"/>
  <c r="J49" i="17"/>
  <c r="J51" i="17" s="1"/>
  <c r="J64" i="17"/>
  <c r="J61" i="17"/>
  <c r="J60" i="17"/>
  <c r="J59" i="17"/>
  <c r="J58" i="17"/>
  <c r="J57" i="17"/>
  <c r="J53" i="17"/>
  <c r="I62" i="17"/>
  <c r="K5" i="17"/>
  <c r="J24" i="17" l="1"/>
  <c r="J173" i="17"/>
  <c r="J171" i="17"/>
  <c r="J169" i="17"/>
  <c r="J168" i="17"/>
  <c r="J166" i="17"/>
  <c r="J165" i="17"/>
  <c r="J164" i="17"/>
  <c r="I172" i="17"/>
  <c r="J156" i="17"/>
  <c r="J161" i="17"/>
  <c r="J153" i="17"/>
  <c r="J157" i="17"/>
  <c r="J158" i="17"/>
  <c r="J155" i="17"/>
  <c r="J150" i="17"/>
  <c r="J149" i="17"/>
  <c r="J148" i="17"/>
  <c r="J147" i="17"/>
  <c r="J146" i="17"/>
  <c r="J141" i="17"/>
  <c r="J140" i="17"/>
  <c r="J144" i="17"/>
  <c r="J143" i="17"/>
  <c r="J142" i="17"/>
  <c r="H33" i="17"/>
  <c r="H20" i="17"/>
  <c r="J13" i="17"/>
  <c r="J10" i="17"/>
  <c r="J12" i="17" s="1"/>
  <c r="J17" i="17"/>
  <c r="J16" i="17"/>
  <c r="J29" i="17"/>
  <c r="J18" i="17"/>
  <c r="K34" i="17"/>
  <c r="K9" i="17"/>
  <c r="K36" i="17"/>
  <c r="K38" i="17"/>
  <c r="K35" i="17"/>
  <c r="K32" i="17"/>
  <c r="K30" i="17"/>
  <c r="I12" i="17"/>
  <c r="I63" i="17"/>
  <c r="I65" i="17" s="1"/>
  <c r="J55" i="17"/>
  <c r="K60" i="17"/>
  <c r="K49" i="17"/>
  <c r="K51" i="17" s="1"/>
  <c r="K61" i="17"/>
  <c r="K59" i="17"/>
  <c r="K57" i="17"/>
  <c r="K54" i="17"/>
  <c r="K47" i="17"/>
  <c r="K64" i="17"/>
  <c r="K58" i="17"/>
  <c r="K53" i="17"/>
  <c r="K55" i="17" s="1"/>
  <c r="J62" i="17"/>
  <c r="L5" i="17"/>
  <c r="K24" i="17" l="1"/>
  <c r="J172" i="17"/>
  <c r="K164" i="17"/>
  <c r="K173" i="17"/>
  <c r="K171" i="17"/>
  <c r="K169" i="17"/>
  <c r="K168" i="17"/>
  <c r="K166" i="17"/>
  <c r="K165" i="17"/>
  <c r="K155" i="17"/>
  <c r="K156" i="17"/>
  <c r="K161" i="17"/>
  <c r="K153" i="17"/>
  <c r="K157" i="17"/>
  <c r="K158" i="17"/>
  <c r="K150" i="17"/>
  <c r="K149" i="17"/>
  <c r="K148" i="17"/>
  <c r="K147" i="17"/>
  <c r="K146" i="17"/>
  <c r="K141" i="17"/>
  <c r="K140" i="17"/>
  <c r="K144" i="17"/>
  <c r="K143" i="17"/>
  <c r="K142" i="17"/>
  <c r="I31" i="17"/>
  <c r="I15" i="17"/>
  <c r="J31" i="17"/>
  <c r="J15" i="17"/>
  <c r="H37" i="17"/>
  <c r="H21" i="17"/>
  <c r="L36" i="17"/>
  <c r="L30" i="17"/>
  <c r="L38" i="17"/>
  <c r="L32" i="17"/>
  <c r="L34" i="17"/>
  <c r="L9" i="17"/>
  <c r="L35" i="17"/>
  <c r="K13" i="17"/>
  <c r="K29" i="17"/>
  <c r="K16" i="17"/>
  <c r="K17" i="17"/>
  <c r="K10" i="17"/>
  <c r="K12" i="17" s="1"/>
  <c r="K18" i="17"/>
  <c r="J63" i="17"/>
  <c r="J65" i="17" s="1"/>
  <c r="K62" i="17"/>
  <c r="K63" i="17" s="1"/>
  <c r="K65" i="17" s="1"/>
  <c r="L60" i="17"/>
  <c r="L58" i="17"/>
  <c r="L57" i="17"/>
  <c r="L47" i="17"/>
  <c r="L61" i="17"/>
  <c r="L53" i="17"/>
  <c r="L49" i="17"/>
  <c r="L51" i="17" s="1"/>
  <c r="L54" i="17"/>
  <c r="L64" i="17"/>
  <c r="L59" i="17"/>
  <c r="L24" i="17" l="1"/>
  <c r="K172" i="17"/>
  <c r="L171" i="17"/>
  <c r="L169" i="17"/>
  <c r="L168" i="17"/>
  <c r="L166" i="17"/>
  <c r="L165" i="17"/>
  <c r="L164" i="17"/>
  <c r="L173" i="17"/>
  <c r="L158" i="17"/>
  <c r="L155" i="17"/>
  <c r="L157" i="17"/>
  <c r="L156" i="17"/>
  <c r="L161" i="17"/>
  <c r="L153" i="17"/>
  <c r="L144" i="17"/>
  <c r="L143" i="17"/>
  <c r="L142" i="17"/>
  <c r="L150" i="17"/>
  <c r="L149" i="17"/>
  <c r="L148" i="17"/>
  <c r="L147" i="17"/>
  <c r="L146" i="17"/>
  <c r="L141" i="17"/>
  <c r="L140" i="17"/>
  <c r="H23" i="17"/>
  <c r="H26" i="17" s="1"/>
  <c r="H137" i="17" s="1"/>
  <c r="H151" i="17" s="1"/>
  <c r="H154" i="17" s="1"/>
  <c r="L29" i="17"/>
  <c r="L10" i="17"/>
  <c r="K31" i="17"/>
  <c r="K15" i="17"/>
  <c r="L16" i="17"/>
  <c r="L18" i="17"/>
  <c r="L13" i="17"/>
  <c r="J33" i="17"/>
  <c r="J20" i="17"/>
  <c r="I33" i="17"/>
  <c r="I20" i="17"/>
  <c r="L17" i="17"/>
  <c r="H45" i="17"/>
  <c r="H66" i="17" s="1"/>
  <c r="L62" i="17"/>
  <c r="L55" i="17"/>
  <c r="L172" i="17" l="1"/>
  <c r="H39" i="17"/>
  <c r="H41" i="17"/>
  <c r="I37" i="17"/>
  <c r="I21" i="17"/>
  <c r="K33" i="17"/>
  <c r="K20" i="17"/>
  <c r="L12" i="17"/>
  <c r="J37" i="17"/>
  <c r="J21" i="17"/>
  <c r="J45" i="17"/>
  <c r="J66" i="17" s="1"/>
  <c r="I45" i="17"/>
  <c r="I66" i="17" s="1"/>
  <c r="L63" i="17"/>
  <c r="L65" i="17" s="1"/>
  <c r="K37" i="17" l="1"/>
  <c r="K21" i="17"/>
  <c r="J23" i="17"/>
  <c r="L31" i="17"/>
  <c r="L15" i="17"/>
  <c r="I23" i="17"/>
  <c r="L33" i="17" l="1"/>
  <c r="L20" i="17"/>
  <c r="L45" i="17" s="1"/>
  <c r="L66" i="17" s="1"/>
  <c r="K23" i="17"/>
  <c r="I39" i="17"/>
  <c r="I26" i="17"/>
  <c r="I137" i="17" s="1"/>
  <c r="I151" i="17" s="1"/>
  <c r="I154" i="17" s="1"/>
  <c r="J39" i="17"/>
  <c r="J26" i="17"/>
  <c r="J137" i="17" s="1"/>
  <c r="J151" i="17" s="1"/>
  <c r="J154" i="17" s="1"/>
  <c r="K45" i="17"/>
  <c r="K66" i="17" s="1"/>
  <c r="J41" i="17" l="1"/>
  <c r="L37" i="17"/>
  <c r="L21" i="17"/>
  <c r="K39" i="17"/>
  <c r="K26" i="17"/>
  <c r="K137" i="17" s="1"/>
  <c r="K151" i="17" s="1"/>
  <c r="K154" i="17" s="1"/>
  <c r="I41" i="17"/>
  <c r="L23" i="17" l="1"/>
  <c r="L39" i="17" s="1"/>
  <c r="K41" i="17"/>
  <c r="L26" i="17" l="1"/>
  <c r="L41" i="17" l="1"/>
  <c r="L137" i="17"/>
  <c r="L151" i="17" s="1"/>
  <c r="L154" i="17" s="1"/>
  <c r="L162" i="17" l="1"/>
  <c r="L174" i="17" s="1"/>
  <c r="H162" i="17"/>
  <c r="H174" i="17" s="1"/>
  <c r="H176" i="17" s="1"/>
  <c r="I162" i="17"/>
  <c r="I174" i="17" s="1"/>
  <c r="J162" i="17"/>
  <c r="J174" i="17" s="1"/>
  <c r="K162" i="17"/>
  <c r="K174" i="17" s="1"/>
  <c r="H72" i="17" l="1"/>
  <c r="H84" i="17" s="1"/>
  <c r="H98" i="17" s="1"/>
  <c r="H131" i="17" s="1"/>
  <c r="I175" i="17"/>
  <c r="I176" i="17" s="1"/>
  <c r="J175" i="17" l="1"/>
  <c r="J176" i="17" s="1"/>
  <c r="I72" i="17"/>
  <c r="I84" i="17" s="1"/>
  <c r="I98" i="17" s="1"/>
  <c r="I132" i="17" s="1"/>
  <c r="H132" i="17"/>
  <c r="I131" i="17" l="1"/>
  <c r="J72" i="17"/>
  <c r="J84" i="17" s="1"/>
  <c r="J98" i="17" s="1"/>
  <c r="K175" i="17"/>
  <c r="K176" i="17" s="1"/>
  <c r="J131" i="17" l="1"/>
  <c r="J132" i="17"/>
  <c r="L175" i="17"/>
  <c r="L176" i="17" s="1"/>
  <c r="L72" i="17" s="1"/>
  <c r="L84" i="17" s="1"/>
  <c r="L98" i="17" s="1"/>
  <c r="K72" i="17"/>
  <c r="K84" i="17" s="1"/>
  <c r="K98" i="17" s="1"/>
  <c r="K132" i="17" l="1"/>
  <c r="K131" i="17"/>
  <c r="L131" i="17"/>
  <c r="L132" i="17"/>
</calcChain>
</file>

<file path=xl/sharedStrings.xml><?xml version="1.0" encoding="utf-8"?>
<sst xmlns="http://schemas.openxmlformats.org/spreadsheetml/2006/main" count="1658" uniqueCount="496">
  <si>
    <t>—</t>
  </si>
  <si>
    <t xml:space="preserve">Net income    </t>
  </si>
  <si>
    <t xml:space="preserve">Depreciation     </t>
  </si>
  <si>
    <t xml:space="preserve">Amortization of intangibles   </t>
  </si>
  <si>
    <t xml:space="preserve">Stock-based compensation    </t>
  </si>
  <si>
    <t xml:space="preserve">Deferred taxes    </t>
  </si>
  <si>
    <t>Change in operating assets and liabilities, net of acquisitions/divestitures</t>
  </si>
  <si>
    <t xml:space="preserve">Retirement related    </t>
  </si>
  <si>
    <t xml:space="preserve">Inventories     </t>
  </si>
  <si>
    <t xml:space="preserve">Other assets/other liabilities   </t>
  </si>
  <si>
    <t xml:space="preserve">Accounts payable    </t>
  </si>
  <si>
    <t>Net cash provided by operating activities</t>
  </si>
  <si>
    <t>Payments for property, plant and equipment</t>
  </si>
  <si>
    <t>Proceeds from disposition of property, plant and equipment</t>
  </si>
  <si>
    <t>Net (gain)/loss on asset sales and other</t>
  </si>
  <si>
    <t xml:space="preserve">Investment in software   </t>
  </si>
  <si>
    <t>Purchases of marketable securities and other investments</t>
  </si>
  <si>
    <t>Proceeds from disposition of marketable securities and other investments</t>
  </si>
  <si>
    <t>Acquisition of businesses, net of cash acquired</t>
  </si>
  <si>
    <t>Divestiture of businesses, net of cash transferred</t>
  </si>
  <si>
    <t>Net cash used in investing activities</t>
  </si>
  <si>
    <t xml:space="preserve">Proceeds from new debt  </t>
  </si>
  <si>
    <t xml:space="preserve">Payments to settle debt  </t>
  </si>
  <si>
    <t>Short-term borrowings/(repayments) less than 90 days—net</t>
  </si>
  <si>
    <t xml:space="preserve">Common stock repurchases   </t>
  </si>
  <si>
    <t xml:space="preserve">Cash dividends paid   </t>
  </si>
  <si>
    <t>Effect of exchange rate changes on cash and cash equivalents</t>
  </si>
  <si>
    <t>Net change in cash and cash equivalents</t>
  </si>
  <si>
    <t>Cash and cash equivalents at January 1</t>
  </si>
  <si>
    <t>Cash and cash equivalents at December 31</t>
  </si>
  <si>
    <t xml:space="preserve">Supplemental data     </t>
  </si>
  <si>
    <t>Income taxes paid—net of refunds received</t>
  </si>
  <si>
    <t xml:space="preserve">Interest paid on debt  </t>
  </si>
  <si>
    <t>Cash flows from operating activities</t>
  </si>
  <si>
    <t xml:space="preserve">Receivables (including financing receivables) </t>
  </si>
  <si>
    <t>Cash flows from investing activities</t>
  </si>
  <si>
    <t xml:space="preserve">Non-operating finance receivables—net  </t>
  </si>
  <si>
    <t>Cash flows from financing activities</t>
  </si>
  <si>
    <t>Net cash used in financing activities</t>
  </si>
  <si>
    <t>Operating lease liabilities</t>
  </si>
  <si>
    <t>Operating right-of-use assets—net</t>
  </si>
  <si>
    <t>Held for sale</t>
  </si>
  <si>
    <t>Held for investment (net of allowances)</t>
  </si>
  <si>
    <t>Short-term ﬁnancing receivables (net of allowances)</t>
  </si>
  <si>
    <t>Current assets of discontinued operations</t>
  </si>
  <si>
    <t>Non-current assets of discontinued operations</t>
  </si>
  <si>
    <t>Non-current liabilities of discontinued operations</t>
  </si>
  <si>
    <t>Distribution from Kyndryl</t>
  </si>
  <si>
    <t>Adjustments to reconcile net income to cash provided by operating activities</t>
  </si>
  <si>
    <t>Current assets</t>
  </si>
  <si>
    <t>Assets</t>
  </si>
  <si>
    <t>Notes and accounts receivable—trade (net of allowances)</t>
  </si>
  <si>
    <t>Other accounts receivable (net of allowances)</t>
  </si>
  <si>
    <t>Current liabilities</t>
  </si>
  <si>
    <t>Liabilities and equity</t>
  </si>
  <si>
    <t>Common stock, par value $.20 per share, and additional paid-in capital</t>
  </si>
  <si>
    <t>Long-term ﬁnancing receivables (net of allowances)</t>
  </si>
  <si>
    <t>Treasury stock, at cost</t>
  </si>
  <si>
    <t>-</t>
  </si>
  <si>
    <t>.</t>
  </si>
  <si>
    <t>TOTAL REVENUE</t>
  </si>
  <si>
    <t>NET INCOME</t>
  </si>
  <si>
    <t>GROSS PROFIT</t>
  </si>
  <si>
    <t>Total non-current assets</t>
  </si>
  <si>
    <t>Working capital</t>
  </si>
  <si>
    <t>Total non-current liabilities</t>
  </si>
  <si>
    <t>TOTAL CURRENT ASSETS</t>
  </si>
  <si>
    <t>TOTAL NON CURRENT ASSETS</t>
  </si>
  <si>
    <t>TOTAL ASSETS</t>
  </si>
  <si>
    <t>TOTAL CURRENT LIABILITIES</t>
  </si>
  <si>
    <t>TOTAL NON CURRENT LIABILITIES</t>
  </si>
  <si>
    <t>TOTAL LIABILITIES</t>
  </si>
  <si>
    <t>WORKING CAPITAL</t>
  </si>
  <si>
    <t>LONG-TERM DEBT</t>
  </si>
  <si>
    <t>TOTAL EQUITY</t>
  </si>
  <si>
    <t>TOTAL LIABILITIES AND EQUITY</t>
  </si>
  <si>
    <t>Earnings before interest and tax (EBIT)</t>
  </si>
  <si>
    <t>Operating expenses</t>
  </si>
  <si>
    <t>Operating income (EBIT)</t>
  </si>
  <si>
    <t>TOTAL COST</t>
  </si>
  <si>
    <t>OPERATING EXPENSES</t>
  </si>
  <si>
    <t>OPERATING INCOME (EBIT)</t>
  </si>
  <si>
    <t>INCOME FROM CONTINUING OPERTATIONS BEFORE INCOME TAXES</t>
  </si>
  <si>
    <t>Net income</t>
  </si>
  <si>
    <t>Foreign currency translation adjustments</t>
  </si>
  <si>
    <t>Year</t>
  </si>
  <si>
    <t>Total net changes related to available-for-sale securities</t>
  </si>
  <si>
    <t>Total unrealized gains/(losses) on cash ﬂow hedges</t>
  </si>
  <si>
    <t>Total retirement-related beneﬁt plans</t>
  </si>
  <si>
    <t>Total comprehensive income</t>
  </si>
  <si>
    <t>FOREIGN CURRENCY TRANSLATION ADJUSTMENTS</t>
  </si>
  <si>
    <t>TOTAL NET CHANGES RELATED TO AVAILABLE-FOR-SALE SECURITIES</t>
  </si>
  <si>
    <t>TOTAL UNREALIZED GAINS / LOSSES ON CASH FLOW HEDGES</t>
  </si>
  <si>
    <t>TOTAL RETIREMENT - RELATED BENEFIT PLANS</t>
  </si>
  <si>
    <t>TOTAL COMPREHENSIVE INCOME</t>
  </si>
  <si>
    <t>Cash and cash equivalents at beginning of period (January 1)</t>
  </si>
  <si>
    <t xml:space="preserve">Cash and cash equivalents at end of period (December 31) </t>
  </si>
  <si>
    <t>Free cash flow (FCF)</t>
  </si>
  <si>
    <t>NET CASH PROVIDED BY OPERATING ACTIVITIES</t>
  </si>
  <si>
    <t>NET CASH USED IN INVESTING ACTIVITIES</t>
  </si>
  <si>
    <t>NET CASH USED IN FINANCING ACTIVITIES</t>
  </si>
  <si>
    <t>NET CHANGE IN CASH AND CASH EQUIVALENTS</t>
  </si>
  <si>
    <t>CASH AND CASH EQUIVALENTS AT BEGINNING OF PERIOD (JANUARY 1)</t>
  </si>
  <si>
    <t>CASH AND CASH EQUIVALENTS AT END OF PERIOD (DECEMBER 31)</t>
  </si>
  <si>
    <t xml:space="preserve"> </t>
  </si>
  <si>
    <t>FREE CASH FLOW (FCF)</t>
  </si>
  <si>
    <t>Net Profit Margin</t>
  </si>
  <si>
    <t>Gross Margin</t>
  </si>
  <si>
    <t>Return on Assets (ROA)</t>
  </si>
  <si>
    <t>Return on Equity (ROE)</t>
  </si>
  <si>
    <t>GROSS MARGIN</t>
  </si>
  <si>
    <t>NET PROFIT MARGIN</t>
  </si>
  <si>
    <t>RETURN ON ASSETS (ROA)</t>
  </si>
  <si>
    <t>RETURN ON EQUITY (ROE)</t>
  </si>
  <si>
    <t>Current Ratio</t>
  </si>
  <si>
    <t>Quick Ratio</t>
  </si>
  <si>
    <t>CURRENT RATIO</t>
  </si>
  <si>
    <t>QUICK RATIO</t>
  </si>
  <si>
    <t>Debt to Equity Ratio</t>
  </si>
  <si>
    <t>Interest Coverage Ratio</t>
  </si>
  <si>
    <t>DEBT TO EQUITY RATIO</t>
  </si>
  <si>
    <t>INTEREST COVERAGE RATIO</t>
  </si>
  <si>
    <t>Inventory Turnover Ratio</t>
  </si>
  <si>
    <t>ASSET TURNOVER RATIO</t>
  </si>
  <si>
    <t>INVENTORY TURNOVER RATIO</t>
  </si>
  <si>
    <t>Gross profit</t>
  </si>
  <si>
    <t>Operating Income (EBIT)</t>
  </si>
  <si>
    <t>YoY % change</t>
  </si>
  <si>
    <t>Long-term debt</t>
  </si>
  <si>
    <t>Total liabilities</t>
  </si>
  <si>
    <t>Total equity</t>
  </si>
  <si>
    <t>Net Income</t>
  </si>
  <si>
    <t>Actuals</t>
  </si>
  <si>
    <t>Projections</t>
  </si>
  <si>
    <t>Income Statement</t>
  </si>
  <si>
    <t>Common Size Cash Flow Statement</t>
  </si>
  <si>
    <t>Common Size Balance Sheet</t>
  </si>
  <si>
    <t>Common Size Comprehensive Income Statement</t>
  </si>
  <si>
    <t>Common Size Income Statement</t>
  </si>
  <si>
    <t xml:space="preserve">Charts on Trend Analysis of key metrics of Income Statement for the past 10 years </t>
  </si>
  <si>
    <t xml:space="preserve">Charts on Trend Analysis of key metrics of Comprehensive Income Statement for the past 10 years </t>
  </si>
  <si>
    <t>Total current assets</t>
  </si>
  <si>
    <t>Total assets</t>
  </si>
  <si>
    <t>Total current liabilities</t>
  </si>
  <si>
    <t>Total liabilities and equity</t>
  </si>
  <si>
    <t xml:space="preserve">Charts on Trend Analysis of key metrics of Balance Sheet for the past 10 years </t>
  </si>
  <si>
    <t xml:space="preserve">Charts on Trend Analysis of key metrics of Cash Flow Statement for the past 10 years </t>
  </si>
  <si>
    <t>Balance Sheet</t>
  </si>
  <si>
    <t>Comprehensive Income Statement</t>
  </si>
  <si>
    <t>Total Current Assets</t>
  </si>
  <si>
    <t>Total Current Liabilities</t>
  </si>
  <si>
    <t>Cash Flow Statement</t>
  </si>
  <si>
    <t>Assumptions</t>
  </si>
  <si>
    <t>Historical Financial Statement - IBM</t>
  </si>
  <si>
    <t>Revenue</t>
  </si>
  <si>
    <t xml:space="preserve">Revenue Growth </t>
  </si>
  <si>
    <t>COGS</t>
  </si>
  <si>
    <t>Gross Profit</t>
  </si>
  <si>
    <t>Gross Margins</t>
  </si>
  <si>
    <t>Selling &amp; General Expenses</t>
  </si>
  <si>
    <t>COGS as % of Revenue</t>
  </si>
  <si>
    <t>S&amp;G Exp as % of Revenue</t>
  </si>
  <si>
    <t>Interest</t>
  </si>
  <si>
    <t>As a % of Revenue</t>
  </si>
  <si>
    <t>Intellectual Property &amp; Custom Development Income</t>
  </si>
  <si>
    <t>Other Income &amp; Expenses</t>
  </si>
  <si>
    <t>Other Income &amp; Expenses as % of Revenue</t>
  </si>
  <si>
    <t>Interest as % of Revenue</t>
  </si>
  <si>
    <t>Earnings Before Tax (EBT)</t>
  </si>
  <si>
    <t>Tax</t>
  </si>
  <si>
    <t>Effective Tax Rate</t>
  </si>
  <si>
    <t xml:space="preserve">Profit / Loss from Discontinued Operations </t>
  </si>
  <si>
    <t>As % of Revenue</t>
  </si>
  <si>
    <t>Income From Continuing Operations</t>
  </si>
  <si>
    <t>No of Equity Shares</t>
  </si>
  <si>
    <t xml:space="preserve">Assuming Dilution </t>
  </si>
  <si>
    <t>Basic</t>
  </si>
  <si>
    <t>Earnings Per Share</t>
  </si>
  <si>
    <t>Basic EPS</t>
  </si>
  <si>
    <t>Assuming Dilution</t>
  </si>
  <si>
    <t>Diluted EPS Growth %</t>
  </si>
  <si>
    <t>Basic EPS Growth %</t>
  </si>
  <si>
    <t>#</t>
  </si>
  <si>
    <t>Check</t>
  </si>
  <si>
    <r>
      <rPr>
        <sz val="11"/>
        <color rgb="FF231F20"/>
        <rFont val="Calibri"/>
        <family val="2"/>
        <scheme val="minor"/>
      </rPr>
      <t>Cash and cash equivalents</t>
    </r>
  </si>
  <si>
    <r>
      <rPr>
        <sz val="11"/>
        <color rgb="FF231F20"/>
        <rFont val="Calibri"/>
        <family val="2"/>
        <scheme val="minor"/>
      </rPr>
      <t>Restricted cash</t>
    </r>
  </si>
  <si>
    <r>
      <rPr>
        <sz val="11"/>
        <color rgb="FF231F20"/>
        <rFont val="Calibri"/>
        <family val="2"/>
        <scheme val="minor"/>
      </rPr>
      <t>Marketable securities</t>
    </r>
  </si>
  <si>
    <r>
      <rPr>
        <sz val="11"/>
        <color rgb="FF231F20"/>
        <rFont val="Calibri"/>
        <family val="2"/>
        <scheme val="minor"/>
      </rPr>
      <t>Inventories</t>
    </r>
  </si>
  <si>
    <r>
      <rPr>
        <sz val="11"/>
        <color rgb="FF231F20"/>
        <rFont val="Calibri"/>
        <family val="2"/>
        <scheme val="minor"/>
      </rPr>
      <t>Deferred costs</t>
    </r>
  </si>
  <si>
    <r>
      <rPr>
        <sz val="11"/>
        <color rgb="FF231F20"/>
        <rFont val="Calibri"/>
        <family val="2"/>
        <scheme val="minor"/>
      </rPr>
      <t>Prepaid expenses and other current assets</t>
    </r>
  </si>
  <si>
    <r>
      <rPr>
        <b/>
        <sz val="11"/>
        <color rgb="FF231F20"/>
        <rFont val="Calibri"/>
        <family val="2"/>
        <scheme val="minor"/>
      </rPr>
      <t>Total current assets</t>
    </r>
  </si>
  <si>
    <r>
      <rPr>
        <sz val="11"/>
        <color rgb="FF231F20"/>
        <rFont val="Calibri"/>
        <family val="2"/>
        <scheme val="minor"/>
      </rPr>
      <t>Property, plant and equipment</t>
    </r>
  </si>
  <si>
    <r>
      <rPr>
        <sz val="11"/>
        <color rgb="FF231F20"/>
        <rFont val="Calibri"/>
        <family val="2"/>
        <scheme val="minor"/>
      </rPr>
      <t>Less: Accumulated depreciation</t>
    </r>
  </si>
  <si>
    <r>
      <rPr>
        <sz val="11"/>
        <color rgb="FF231F20"/>
        <rFont val="Calibri"/>
        <family val="2"/>
        <scheme val="minor"/>
      </rPr>
      <t>Property, plant and equipment—net</t>
    </r>
  </si>
  <si>
    <r>
      <rPr>
        <sz val="11"/>
        <color rgb="FF231F20"/>
        <rFont val="Calibri"/>
        <family val="2"/>
        <scheme val="minor"/>
      </rPr>
      <t>Prepaid pension assets</t>
    </r>
  </si>
  <si>
    <r>
      <rPr>
        <sz val="11"/>
        <color rgb="FF231F20"/>
        <rFont val="Calibri"/>
        <family val="2"/>
        <scheme val="minor"/>
      </rPr>
      <t>Deferred taxes</t>
    </r>
  </si>
  <si>
    <r>
      <rPr>
        <sz val="11"/>
        <color rgb="FF231F20"/>
        <rFont val="Calibri"/>
        <family val="2"/>
        <scheme val="minor"/>
      </rPr>
      <t>Goodwill</t>
    </r>
  </si>
  <si>
    <r>
      <rPr>
        <sz val="11"/>
        <color rgb="FF231F20"/>
        <rFont val="Calibri"/>
        <family val="2"/>
        <scheme val="minor"/>
      </rPr>
      <t>Intangible assets—net</t>
    </r>
  </si>
  <si>
    <r>
      <rPr>
        <sz val="11"/>
        <color rgb="FF231F20"/>
        <rFont val="Calibri"/>
        <family val="2"/>
        <scheme val="minor"/>
      </rPr>
      <t>Investments and sundry assets</t>
    </r>
  </si>
  <si>
    <r>
      <rPr>
        <b/>
        <sz val="11"/>
        <color rgb="FF231F20"/>
        <rFont val="Calibri"/>
        <family val="2"/>
        <scheme val="minor"/>
      </rPr>
      <t>Total assets</t>
    </r>
  </si>
  <si>
    <r>
      <rPr>
        <sz val="11"/>
        <color rgb="FF231F20"/>
        <rFont val="Calibri"/>
        <family val="2"/>
        <scheme val="minor"/>
      </rPr>
      <t>Taxes</t>
    </r>
  </si>
  <si>
    <r>
      <rPr>
        <sz val="11"/>
        <color rgb="FF231F20"/>
        <rFont val="Calibri"/>
        <family val="2"/>
        <scheme val="minor"/>
      </rPr>
      <t>Short-term debt</t>
    </r>
  </si>
  <si>
    <r>
      <rPr>
        <sz val="11"/>
        <color rgb="FF231F20"/>
        <rFont val="Calibri"/>
        <family val="2"/>
        <scheme val="minor"/>
      </rPr>
      <t>Accounts payable</t>
    </r>
  </si>
  <si>
    <r>
      <rPr>
        <sz val="11"/>
        <color rgb="FF231F20"/>
        <rFont val="Calibri"/>
        <family val="2"/>
        <scheme val="minor"/>
      </rPr>
      <t>Compensation and beneﬁts</t>
    </r>
  </si>
  <si>
    <r>
      <rPr>
        <sz val="11"/>
        <color rgb="FF231F20"/>
        <rFont val="Calibri"/>
        <family val="2"/>
        <scheme val="minor"/>
      </rPr>
      <t>Deferred income</t>
    </r>
  </si>
  <si>
    <r>
      <rPr>
        <sz val="11"/>
        <color rgb="FF231F20"/>
        <rFont val="Calibri"/>
        <family val="2"/>
        <scheme val="minor"/>
      </rPr>
      <t>Other accrued expenses and liabilities</t>
    </r>
  </si>
  <si>
    <r>
      <rPr>
        <sz val="11"/>
        <rFont val="Calibri"/>
        <family val="2"/>
        <scheme val="minor"/>
      </rPr>
      <t>Current liabilities of discontinued operations</t>
    </r>
  </si>
  <si>
    <r>
      <rPr>
        <b/>
        <sz val="11"/>
        <color rgb="FF231F20"/>
        <rFont val="Calibri"/>
        <family val="2"/>
        <scheme val="minor"/>
      </rPr>
      <t>Total current liabilities</t>
    </r>
  </si>
  <si>
    <r>
      <rPr>
        <sz val="11"/>
        <color rgb="FF231F20"/>
        <rFont val="Calibri"/>
        <family val="2"/>
        <scheme val="minor"/>
      </rPr>
      <t>Long-term debt</t>
    </r>
  </si>
  <si>
    <r>
      <rPr>
        <sz val="11"/>
        <color rgb="FF231F20"/>
        <rFont val="Calibri"/>
        <family val="2"/>
        <scheme val="minor"/>
      </rPr>
      <t>Retirement and nonpension postretirement beneﬁt obligations</t>
    </r>
  </si>
  <si>
    <r>
      <rPr>
        <sz val="11"/>
        <color rgb="FF231F20"/>
        <rFont val="Calibri"/>
        <family val="2"/>
        <scheme val="minor"/>
      </rPr>
      <t>Other liabilities</t>
    </r>
  </si>
  <si>
    <r>
      <rPr>
        <b/>
        <sz val="11"/>
        <color rgb="FF231F20"/>
        <rFont val="Calibri"/>
        <family val="2"/>
        <scheme val="minor"/>
      </rPr>
      <t>Total liabilities</t>
    </r>
  </si>
  <si>
    <r>
      <rPr>
        <sz val="11"/>
        <color rgb="FF231F20"/>
        <rFont val="Calibri"/>
        <family val="2"/>
        <scheme val="minor"/>
      </rPr>
      <t>Contingencies and commitments</t>
    </r>
  </si>
  <si>
    <r>
      <rPr>
        <sz val="11"/>
        <color rgb="FF231F20"/>
        <rFont val="Calibri"/>
        <family val="2"/>
        <scheme val="minor"/>
      </rPr>
      <t>Equity</t>
    </r>
  </si>
  <si>
    <r>
      <rPr>
        <sz val="11"/>
        <color rgb="FF231F20"/>
        <rFont val="Calibri"/>
        <family val="2"/>
        <scheme val="minor"/>
      </rPr>
      <t>IBM stockholders’ equity</t>
    </r>
  </si>
  <si>
    <r>
      <rPr>
        <sz val="11"/>
        <color rgb="FF231F20"/>
        <rFont val="Calibri"/>
        <family val="2"/>
        <scheme val="minor"/>
      </rPr>
      <t>Retained earnings</t>
    </r>
  </si>
  <si>
    <r>
      <rPr>
        <sz val="11"/>
        <color rgb="FF231F20"/>
        <rFont val="Calibri"/>
        <family val="2"/>
        <scheme val="minor"/>
      </rPr>
      <t>Accumulated other comprehensive income/(loss)</t>
    </r>
  </si>
  <si>
    <r>
      <rPr>
        <sz val="11"/>
        <color rgb="FF231F20"/>
        <rFont val="Calibri"/>
        <family val="2"/>
        <scheme val="minor"/>
      </rPr>
      <t>Total IBM stockholders’ equity</t>
    </r>
  </si>
  <si>
    <r>
      <rPr>
        <sz val="11"/>
        <color rgb="FF231F20"/>
        <rFont val="Calibri"/>
        <family val="2"/>
        <scheme val="minor"/>
      </rPr>
      <t>Noncontrolling interests</t>
    </r>
  </si>
  <si>
    <r>
      <rPr>
        <b/>
        <sz val="11"/>
        <color rgb="FF231F20"/>
        <rFont val="Calibri"/>
        <family val="2"/>
        <scheme val="minor"/>
      </rPr>
      <t>Total equity</t>
    </r>
  </si>
  <si>
    <r>
      <rPr>
        <b/>
        <sz val="11"/>
        <color rgb="FF231F20"/>
        <rFont val="Calibri"/>
        <family val="2"/>
        <scheme val="minor"/>
      </rPr>
      <t>Total liabilities and equity</t>
    </r>
  </si>
  <si>
    <r>
      <rPr>
        <sz val="11"/>
        <rFont val="Calibri"/>
        <family val="2"/>
        <scheme val="minor"/>
      </rPr>
      <t>Pension settlement charge</t>
    </r>
  </si>
  <si>
    <r>
      <rPr>
        <sz val="11"/>
        <rFont val="Calibri"/>
        <family val="2"/>
        <scheme val="minor"/>
      </rPr>
      <t>Loss on microelectronics business disposal</t>
    </r>
  </si>
  <si>
    <r>
      <rPr>
        <sz val="11"/>
        <color rgb="FF231F20"/>
        <rFont val="Calibri"/>
        <family val="2"/>
        <scheme val="minor"/>
      </rPr>
      <t>Common stock repurchases for tax withholdings</t>
    </r>
  </si>
  <si>
    <r>
      <rPr>
        <sz val="11"/>
        <rFont val="Calibri"/>
        <family val="2"/>
        <scheme val="minor"/>
      </rPr>
      <t>Common stock transactions — other</t>
    </r>
  </si>
  <si>
    <r>
      <rPr>
        <sz val="11"/>
        <color rgb="FF231F20"/>
        <rFont val="Calibri"/>
        <family val="2"/>
        <scheme val="minor"/>
      </rPr>
      <t>Financing—other</t>
    </r>
  </si>
  <si>
    <t>Ratio Analysis - IBM</t>
  </si>
  <si>
    <t>Revenue Growth</t>
  </si>
  <si>
    <t>Net Income Growth</t>
  </si>
  <si>
    <t>EBIT Margins</t>
  </si>
  <si>
    <t>EBT Growth</t>
  </si>
  <si>
    <t>Gross Profit Growth</t>
  </si>
  <si>
    <t>EBIT Margin</t>
  </si>
  <si>
    <t>EBT Margin</t>
  </si>
  <si>
    <t>Net Income Margin</t>
  </si>
  <si>
    <t>Net Income Margins</t>
  </si>
  <si>
    <t>Operating Expenses as % of Revenue</t>
  </si>
  <si>
    <t>Operating Income (EBIT Growth)</t>
  </si>
  <si>
    <t>EBT Margins</t>
  </si>
  <si>
    <t>Return on Capital Employed</t>
  </si>
  <si>
    <t>Return on Equity</t>
  </si>
  <si>
    <t>Debtor Turnover Ratio</t>
  </si>
  <si>
    <t>Creditor Turnover Ratio</t>
  </si>
  <si>
    <t>Fixed Asset Turnover Ratio</t>
  </si>
  <si>
    <t>Capital Turnover Ratio</t>
  </si>
  <si>
    <t>Debtor Days</t>
  </si>
  <si>
    <t>Payable Days</t>
  </si>
  <si>
    <t>Inventory Days</t>
  </si>
  <si>
    <t>CFO/Revenue</t>
  </si>
  <si>
    <t>CFO/Total Assets</t>
  </si>
  <si>
    <t>CFO/Total Debt</t>
  </si>
  <si>
    <t>Cash Conversion Cycle (in days)</t>
  </si>
  <si>
    <t>Return on Assets</t>
  </si>
  <si>
    <t>Mean</t>
  </si>
  <si>
    <t>Median</t>
  </si>
  <si>
    <t>Trend</t>
  </si>
  <si>
    <r>
      <rPr>
        <b/>
        <sz val="11"/>
        <color rgb="FF222220"/>
        <rFont val="Calibri"/>
        <family val="2"/>
        <scheme val="minor"/>
      </rPr>
      <t xml:space="preserve">Consolidated Income Statement
</t>
    </r>
    <r>
      <rPr>
        <sz val="11"/>
        <color rgb="FF222220"/>
        <rFont val="Calibri"/>
        <family val="2"/>
        <scheme val="minor"/>
      </rPr>
      <t>International Business Machines Corporation and Subsidiary Companies
($ in millions except per share amounts)</t>
    </r>
  </si>
  <si>
    <r>
      <rPr>
        <b/>
        <sz val="11"/>
        <color rgb="FF231F20"/>
        <rFont val="Calibri"/>
        <family val="2"/>
        <scheme val="minor"/>
      </rPr>
      <t>For the year ended December 31:</t>
    </r>
  </si>
  <si>
    <r>
      <rPr>
        <b/>
        <sz val="11"/>
        <color rgb="FF231F20"/>
        <rFont val="Calibri"/>
        <family val="2"/>
        <scheme val="minor"/>
      </rPr>
      <t>Revenue</t>
    </r>
  </si>
  <si>
    <r>
      <rPr>
        <sz val="11"/>
        <color rgb="FF231F20"/>
        <rFont val="Calibri"/>
        <family val="2"/>
        <scheme val="minor"/>
      </rPr>
      <t>Services</t>
    </r>
  </si>
  <si>
    <r>
      <rPr>
        <sz val="11"/>
        <color rgb="FF231F20"/>
        <rFont val="Calibri"/>
        <family val="2"/>
        <scheme val="minor"/>
      </rPr>
      <t>Sales</t>
    </r>
  </si>
  <si>
    <r>
      <rPr>
        <sz val="11"/>
        <color rgb="FF231F20"/>
        <rFont val="Calibri"/>
        <family val="2"/>
        <scheme val="minor"/>
      </rPr>
      <t>Financing</t>
    </r>
  </si>
  <si>
    <r>
      <rPr>
        <b/>
        <sz val="11"/>
        <color rgb="FF231F20"/>
        <rFont val="Calibri"/>
        <family val="2"/>
        <scheme val="minor"/>
      </rPr>
      <t>Total revenue</t>
    </r>
  </si>
  <si>
    <r>
      <rPr>
        <b/>
        <sz val="11"/>
        <color rgb="FF231F20"/>
        <rFont val="Calibri"/>
        <family val="2"/>
        <scheme val="minor"/>
      </rPr>
      <t>Cost</t>
    </r>
  </si>
  <si>
    <r>
      <rPr>
        <b/>
        <sz val="11"/>
        <color rgb="FF231F20"/>
        <rFont val="Calibri"/>
        <family val="2"/>
        <scheme val="minor"/>
      </rPr>
      <t>Total cost</t>
    </r>
  </si>
  <si>
    <r>
      <rPr>
        <b/>
        <sz val="11"/>
        <color rgb="FF231F20"/>
        <rFont val="Calibri"/>
        <family val="2"/>
        <scheme val="minor"/>
      </rPr>
      <t>Gross profit</t>
    </r>
  </si>
  <si>
    <r>
      <rPr>
        <b/>
        <sz val="11"/>
        <color rgb="FF231F20"/>
        <rFont val="Calibri"/>
        <family val="2"/>
        <scheme val="minor"/>
      </rPr>
      <t>Expense and other (income)</t>
    </r>
  </si>
  <si>
    <r>
      <rPr>
        <sz val="11"/>
        <color rgb="FF231F20"/>
        <rFont val="Calibri"/>
        <family val="2"/>
        <scheme val="minor"/>
      </rPr>
      <t>Selling, general and administrative</t>
    </r>
  </si>
  <si>
    <r>
      <rPr>
        <sz val="11"/>
        <color rgb="FF231F20"/>
        <rFont val="Calibri"/>
        <family val="2"/>
        <scheme val="minor"/>
      </rPr>
      <t>Research, development and engineering</t>
    </r>
  </si>
  <si>
    <r>
      <rPr>
        <sz val="11"/>
        <color rgb="FF231F20"/>
        <rFont val="Calibri"/>
        <family val="2"/>
        <scheme val="minor"/>
      </rPr>
      <t>Intellectual property and custom development income</t>
    </r>
  </si>
  <si>
    <r>
      <rPr>
        <sz val="11"/>
        <color rgb="FF231F20"/>
        <rFont val="Calibri"/>
        <family val="2"/>
        <scheme val="minor"/>
      </rPr>
      <t>Other (income) and expense</t>
    </r>
  </si>
  <si>
    <r>
      <rPr>
        <sz val="11"/>
        <color rgb="FF231F20"/>
        <rFont val="Calibri"/>
        <family val="2"/>
        <scheme val="minor"/>
      </rPr>
      <t>Interest expense</t>
    </r>
  </si>
  <si>
    <r>
      <rPr>
        <b/>
        <sz val="11"/>
        <color rgb="FF231F20"/>
        <rFont val="Calibri"/>
        <family val="2"/>
        <scheme val="minor"/>
      </rPr>
      <t>Total expense and other (income)</t>
    </r>
  </si>
  <si>
    <r>
      <rPr>
        <b/>
        <sz val="11"/>
        <color rgb="FF231F20"/>
        <rFont val="Calibri"/>
        <family val="2"/>
        <scheme val="minor"/>
      </rPr>
      <t>Income from continuing operations before income taxes</t>
    </r>
  </si>
  <si>
    <r>
      <rPr>
        <sz val="11"/>
        <color rgb="FF231F20"/>
        <rFont val="Calibri"/>
        <family val="2"/>
        <scheme val="minor"/>
      </rPr>
      <t>Provision for income taxes</t>
    </r>
  </si>
  <si>
    <r>
      <rPr>
        <b/>
        <sz val="11"/>
        <color rgb="FF231F20"/>
        <rFont val="Calibri"/>
        <family val="2"/>
        <scheme val="minor"/>
      </rPr>
      <t>Income from continuing operations</t>
    </r>
  </si>
  <si>
    <r>
      <rPr>
        <sz val="11"/>
        <color rgb="FF231F20"/>
        <rFont val="Calibri"/>
        <family val="2"/>
        <scheme val="minor"/>
      </rPr>
      <t>Loss from discontinued operations, net of tax</t>
    </r>
  </si>
  <si>
    <r>
      <rPr>
        <b/>
        <sz val="11"/>
        <color rgb="FF231F20"/>
        <rFont val="Calibri"/>
        <family val="2"/>
        <scheme val="minor"/>
      </rPr>
      <t>Net income</t>
    </r>
  </si>
  <si>
    <r>
      <rPr>
        <b/>
        <sz val="11"/>
        <color rgb="FF231F20"/>
        <rFont val="Calibri"/>
        <family val="2"/>
        <scheme val="minor"/>
      </rPr>
      <t>Earnings/(loss) per share of common stock
Assuming dilution</t>
    </r>
  </si>
  <si>
    <r>
      <rPr>
        <sz val="11"/>
        <color rgb="FF231F20"/>
        <rFont val="Calibri"/>
        <family val="2"/>
        <scheme val="minor"/>
      </rPr>
      <t>Continuing operations</t>
    </r>
  </si>
  <si>
    <r>
      <rPr>
        <sz val="11"/>
        <color rgb="FF231F20"/>
        <rFont val="Calibri"/>
        <family val="2"/>
        <scheme val="minor"/>
      </rPr>
      <t>Discontinued operations</t>
    </r>
  </si>
  <si>
    <r>
      <rPr>
        <b/>
        <sz val="11"/>
        <color rgb="FF231F20"/>
        <rFont val="Calibri"/>
        <family val="2"/>
        <scheme val="minor"/>
      </rPr>
      <t>Total</t>
    </r>
  </si>
  <si>
    <r>
      <rPr>
        <b/>
        <sz val="11"/>
        <color rgb="FF231F20"/>
        <rFont val="Calibri"/>
        <family val="2"/>
        <scheme val="minor"/>
      </rPr>
      <t>Basic</t>
    </r>
  </si>
  <si>
    <r>
      <rPr>
        <b/>
        <sz val="11"/>
        <color rgb="FF231F20"/>
        <rFont val="Calibri"/>
        <family val="2"/>
        <scheme val="minor"/>
      </rPr>
      <t>Weighted-average number of common shares outstanding</t>
    </r>
  </si>
  <si>
    <r>
      <rPr>
        <sz val="11"/>
        <color rgb="FF231F20"/>
        <rFont val="Calibri"/>
        <family val="2"/>
        <scheme val="minor"/>
      </rPr>
      <t>Assuming dilution</t>
    </r>
  </si>
  <si>
    <r>
      <rPr>
        <sz val="11"/>
        <color rgb="FF231F20"/>
        <rFont val="Calibri"/>
        <family val="2"/>
        <scheme val="minor"/>
      </rPr>
      <t>Basic</t>
    </r>
  </si>
  <si>
    <r>
      <rPr>
        <b/>
        <sz val="11"/>
        <color rgb="FF231F20"/>
        <rFont val="Calibri"/>
        <family val="2"/>
        <scheme val="minor"/>
      </rPr>
      <t>Other comprehensive income/(loss), before tax</t>
    </r>
  </si>
  <si>
    <r>
      <rPr>
        <b/>
        <sz val="11"/>
        <color rgb="FF231F20"/>
        <rFont val="Calibri"/>
        <family val="2"/>
        <scheme val="minor"/>
      </rPr>
      <t>Foreign currency translation adjustments</t>
    </r>
  </si>
  <si>
    <r>
      <rPr>
        <b/>
        <sz val="11"/>
        <color rgb="FF231F20"/>
        <rFont val="Calibri"/>
        <family val="2"/>
        <scheme val="minor"/>
      </rPr>
      <t>Net changes related to available-for-sale securities</t>
    </r>
  </si>
  <si>
    <r>
      <rPr>
        <sz val="11"/>
        <color rgb="FF231F20"/>
        <rFont val="Calibri"/>
        <family val="2"/>
        <scheme val="minor"/>
      </rPr>
      <t>Unrealized gains/(losses) arising during the period</t>
    </r>
  </si>
  <si>
    <r>
      <rPr>
        <sz val="11"/>
        <color rgb="FF231F20"/>
        <rFont val="Calibri"/>
        <family val="2"/>
        <scheme val="minor"/>
      </rPr>
      <t>Reclassiﬁcation of (gains)/losses to net income</t>
    </r>
  </si>
  <si>
    <r>
      <rPr>
        <b/>
        <sz val="11"/>
        <color rgb="FF231F20"/>
        <rFont val="Calibri"/>
        <family val="2"/>
        <scheme val="minor"/>
      </rPr>
      <t>Total net changes related to available-for-sale securities</t>
    </r>
  </si>
  <si>
    <r>
      <rPr>
        <b/>
        <sz val="11"/>
        <color rgb="FF231F20"/>
        <rFont val="Calibri"/>
        <family val="2"/>
        <scheme val="minor"/>
      </rPr>
      <t>Unrealized gains/(losses) on cash ﬂow hedges</t>
    </r>
  </si>
  <si>
    <r>
      <rPr>
        <b/>
        <sz val="11"/>
        <color rgb="FF231F20"/>
        <rFont val="Calibri"/>
        <family val="2"/>
        <scheme val="minor"/>
      </rPr>
      <t>Total unrealized gains/(losses) on cash ﬂow hedges</t>
    </r>
  </si>
  <si>
    <r>
      <rPr>
        <b/>
        <sz val="11"/>
        <color rgb="FF231F20"/>
        <rFont val="Calibri"/>
        <family val="2"/>
        <scheme val="minor"/>
      </rPr>
      <t>Retirement-related beneﬁt plans</t>
    </r>
  </si>
  <si>
    <r>
      <rPr>
        <sz val="11"/>
        <color rgb="FF231F20"/>
        <rFont val="Calibri"/>
        <family val="2"/>
        <scheme val="minor"/>
      </rPr>
      <t>Prior service costs/(credits)</t>
    </r>
  </si>
  <si>
    <r>
      <rPr>
        <sz val="11"/>
        <color rgb="FF231F20"/>
        <rFont val="Calibri"/>
        <family val="2"/>
        <scheme val="minor"/>
      </rPr>
      <t>Net (losses)/gains arising during the period</t>
    </r>
  </si>
  <si>
    <r>
      <rPr>
        <sz val="11"/>
        <color rgb="FF231F20"/>
        <rFont val="Calibri"/>
        <family val="2"/>
        <scheme val="minor"/>
      </rPr>
      <t>Curtailments and settlements</t>
    </r>
  </si>
  <si>
    <r>
      <rPr>
        <sz val="11"/>
        <color rgb="FF231F20"/>
        <rFont val="Calibri"/>
        <family val="2"/>
        <scheme val="minor"/>
      </rPr>
      <t>Amortization of prior service (credits)/costs</t>
    </r>
  </si>
  <si>
    <r>
      <rPr>
        <sz val="11"/>
        <color rgb="FF231F20"/>
        <rFont val="Calibri"/>
        <family val="2"/>
        <scheme val="minor"/>
      </rPr>
      <t>Amortization of net (gains)/losses</t>
    </r>
  </si>
  <si>
    <r>
      <rPr>
        <b/>
        <sz val="11"/>
        <color rgb="FF231F20"/>
        <rFont val="Calibri"/>
        <family val="2"/>
        <scheme val="minor"/>
      </rPr>
      <t>Total retirement-related beneﬁt plans</t>
    </r>
  </si>
  <si>
    <r>
      <rPr>
        <b/>
        <sz val="11"/>
        <color rgb="FF231F20"/>
        <rFont val="Calibri"/>
        <family val="2"/>
        <scheme val="minor"/>
      </rPr>
      <t>Income tax (expense)/beneﬁt related to items of other comprehensive income</t>
    </r>
  </si>
  <si>
    <r>
      <rPr>
        <b/>
        <sz val="11"/>
        <color rgb="FF231F20"/>
        <rFont val="Calibri"/>
        <family val="2"/>
        <scheme val="minor"/>
      </rPr>
      <t>Other comprehensive income/(loss)</t>
    </r>
  </si>
  <si>
    <r>
      <rPr>
        <b/>
        <sz val="11"/>
        <color rgb="FF231F20"/>
        <rFont val="Calibri"/>
        <family val="2"/>
        <scheme val="minor"/>
      </rPr>
      <t>Total comprehensive income</t>
    </r>
  </si>
  <si>
    <r>
      <rPr>
        <b/>
        <sz val="11"/>
        <rFont val="Calibri"/>
        <family val="2"/>
        <scheme val="minor"/>
      </rPr>
      <t xml:space="preserve">Consolidated Statement of Comprehensive Income
</t>
    </r>
    <r>
      <rPr>
        <sz val="11"/>
        <rFont val="Calibri"/>
        <family val="2"/>
        <scheme val="minor"/>
      </rPr>
      <t>International Business Machines Corporation and Subsidiary Companies                                                                                                                                                                                                                                                                                                                             ($ in millions)</t>
    </r>
  </si>
  <si>
    <r>
      <rPr>
        <b/>
        <sz val="11"/>
        <rFont val="Calibri"/>
        <family val="2"/>
        <scheme val="minor"/>
      </rPr>
      <t xml:space="preserve">Consolidated Statement of Financial Position
</t>
    </r>
    <r>
      <rPr>
        <sz val="11"/>
        <rFont val="Calibri"/>
        <family val="2"/>
        <scheme val="minor"/>
      </rPr>
      <t xml:space="preserve">International Business Machines Corporation and Subsidiary Companies                                                                                                                                                                                                                                                                                                                             ($ in millions except per share amounts) </t>
    </r>
  </si>
  <si>
    <r>
      <rPr>
        <b/>
        <sz val="11"/>
        <rFont val="Calibri"/>
        <family val="2"/>
        <scheme val="minor"/>
      </rPr>
      <t xml:space="preserve">Consolidated Statement of Cash Flows
</t>
    </r>
    <r>
      <rPr>
        <sz val="11"/>
        <rFont val="Calibri"/>
        <family val="2"/>
        <scheme val="minor"/>
      </rPr>
      <t>International Business Machines Corporation and Subsidiary Companies                                                                                                                                                                                                                                                                                                                                                                                                                                   ($ in millions)</t>
    </r>
  </si>
  <si>
    <r>
      <rPr>
        <sz val="11"/>
        <color rgb="FF263A8B"/>
        <rFont val="Calibri"/>
        <family val="2"/>
        <scheme val="minor"/>
      </rPr>
      <t>—</t>
    </r>
  </si>
  <si>
    <r>
      <rPr>
        <sz val="11"/>
        <rFont val="Calibri"/>
        <family val="2"/>
        <scheme val="minor"/>
      </rPr>
      <t>—</t>
    </r>
  </si>
  <si>
    <r>
      <rPr>
        <sz val="11"/>
        <color rgb="FF1157A1"/>
        <rFont val="Calibri"/>
        <family val="2"/>
        <scheme val="minor"/>
      </rPr>
      <t>—</t>
    </r>
  </si>
  <si>
    <t>Total Revenue</t>
  </si>
  <si>
    <t>EBT</t>
  </si>
  <si>
    <t>Profitability Ratios</t>
  </si>
  <si>
    <t>Charts on Ratio Analysis - IBM</t>
  </si>
  <si>
    <r>
      <rPr>
        <sz val="11"/>
        <color rgb="FF231F20"/>
        <rFont val="Calibri"/>
        <family val="2"/>
        <scheme val="minor"/>
      </rPr>
      <t>Income tax (expense)/beneﬁt related to items of other comprehensive income</t>
    </r>
  </si>
  <si>
    <t>Common Size Analysis on Financial Statements - IBM</t>
  </si>
  <si>
    <t>Trend Analysis on key Metrics of Financial Statements - IBM</t>
  </si>
  <si>
    <r>
      <rPr>
        <sz val="11"/>
        <color rgb="FF231F20"/>
        <rFont val="Calibri"/>
        <family val="2"/>
        <scheme val="minor"/>
      </rPr>
      <t>Other comprehensive income/(loss), before tax</t>
    </r>
  </si>
  <si>
    <r>
      <rPr>
        <sz val="11"/>
        <color rgb="FF231F20"/>
        <rFont val="Calibri"/>
        <family val="2"/>
        <scheme val="minor"/>
      </rPr>
      <t>Other comprehensive income/(loss)</t>
    </r>
  </si>
  <si>
    <t>IP &amp; CD Income as a % of Revenue</t>
  </si>
  <si>
    <t>P&amp;L from Discontinued Operations as % of Revenue</t>
  </si>
  <si>
    <t>Income from Continuing Operations as % of Revenue</t>
  </si>
  <si>
    <t>IBM - Revenue Forcasting</t>
  </si>
  <si>
    <t>Year Weight</t>
  </si>
  <si>
    <t>IBM - EBIT Forcasting</t>
  </si>
  <si>
    <t>EBIT</t>
  </si>
  <si>
    <t>EBIT Growth</t>
  </si>
  <si>
    <t>IBM - Earnings per Share Forcasting</t>
  </si>
  <si>
    <t>Diluted EPS</t>
  </si>
  <si>
    <t>Diluted EPS Growth</t>
  </si>
  <si>
    <t>Basic EPS Growth</t>
  </si>
  <si>
    <t>Weighted Average Cost of Capital</t>
  </si>
  <si>
    <t>Peer Comps</t>
  </si>
  <si>
    <t>Name of the Comp</t>
  </si>
  <si>
    <t>Country</t>
  </si>
  <si>
    <t>Total Debt</t>
  </si>
  <si>
    <t>Total Equity</t>
  </si>
  <si>
    <t>Tax Rate</t>
  </si>
  <si>
    <r>
      <t xml:space="preserve">Tax Rate </t>
    </r>
    <r>
      <rPr>
        <vertAlign val="superscript"/>
        <sz val="11"/>
        <color rgb="FF000000"/>
        <rFont val="Calibri"/>
        <family val="2"/>
        <scheme val="minor"/>
      </rPr>
      <t>1</t>
    </r>
  </si>
  <si>
    <t>Equity</t>
  </si>
  <si>
    <t>Debt /</t>
  </si>
  <si>
    <t>Capital</t>
  </si>
  <si>
    <t>Levered</t>
  </si>
  <si>
    <t xml:space="preserve">Unlevered </t>
  </si>
  <si>
    <r>
      <t xml:space="preserve">Beta </t>
    </r>
    <r>
      <rPr>
        <vertAlign val="superscript"/>
        <sz val="11"/>
        <color rgb="FF000000"/>
        <rFont val="Calibri"/>
        <family val="2"/>
        <scheme val="minor"/>
      </rPr>
      <t>2</t>
    </r>
  </si>
  <si>
    <r>
      <t xml:space="preserve">Beta </t>
    </r>
    <r>
      <rPr>
        <vertAlign val="superscript"/>
        <sz val="11"/>
        <color rgb="FF000000"/>
        <rFont val="Calibri"/>
        <family val="2"/>
        <scheme val="minor"/>
      </rPr>
      <t>3</t>
    </r>
  </si>
  <si>
    <t>Microsoft</t>
  </si>
  <si>
    <t>Oracle</t>
  </si>
  <si>
    <t>Accenture</t>
  </si>
  <si>
    <t>SAP</t>
  </si>
  <si>
    <t>Germany</t>
  </si>
  <si>
    <t>Average</t>
  </si>
  <si>
    <t>Cost of Debt</t>
  </si>
  <si>
    <t>Pre-Tax Cost of Debt</t>
  </si>
  <si>
    <t>Post Tax Cost of Debt</t>
  </si>
  <si>
    <t>Cost of Equity</t>
  </si>
  <si>
    <t>Risk Free Rate</t>
  </si>
  <si>
    <t>Equity Risk Premium</t>
  </si>
  <si>
    <r>
      <t xml:space="preserve">Levered Beta </t>
    </r>
    <r>
      <rPr>
        <vertAlign val="superscript"/>
        <sz val="11"/>
        <color rgb="FF000000"/>
        <rFont val="Calibri"/>
        <family val="2"/>
        <scheme val="minor"/>
      </rPr>
      <t>4</t>
    </r>
  </si>
  <si>
    <t>Capital Structure</t>
  </si>
  <si>
    <t>Current</t>
  </si>
  <si>
    <t>Target</t>
  </si>
  <si>
    <t>Market Capitalization</t>
  </si>
  <si>
    <t>Total Capital</t>
  </si>
  <si>
    <t>Levered Beta</t>
  </si>
  <si>
    <t>Comps Median Unlevered Beta</t>
  </si>
  <si>
    <t>Target Debt / Equity</t>
  </si>
  <si>
    <t>Debt / Equity</t>
  </si>
  <si>
    <t>Debt</t>
  </si>
  <si>
    <t>Total Cost</t>
  </si>
  <si>
    <t>Total Weight</t>
  </si>
  <si>
    <t>Notes:</t>
  </si>
  <si>
    <t>2. Levered Beta is based on 5 years monthly data</t>
  </si>
  <si>
    <t>3. Unlevered Beta = Levered Beta/(1+(1-Tax Rate)*Debt/Equity)</t>
  </si>
  <si>
    <t>4. Levered Beta = Unevered Beta*(1+(1-Tax Rate)*Debt/Equity)</t>
  </si>
  <si>
    <t>Date</t>
  </si>
  <si>
    <t>Closing Price</t>
  </si>
  <si>
    <t>Microsoft Monthly Returns</t>
  </si>
  <si>
    <t>Return</t>
  </si>
  <si>
    <t>NYSE Returns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</si>
  <si>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</si>
  <si>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</si>
  <si>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</si>
  <si>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</si>
  <si>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</si>
  <si>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</si>
  <si>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</si>
  <si>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</si>
  <si>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</si>
  <si>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</si>
  <si>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</si>
  <si>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</si>
  <si>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</si>
  <si>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</si>
  <si>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</si>
  <si>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</si>
  <si>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</si>
  <si>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</si>
  <si>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</si>
  <si>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</si>
  <si>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</si>
  <si>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</si>
  <si>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</si>
  <si>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</si>
  <si>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</si>
  <si>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 xml:space="preserve">Levered Beta </t>
  </si>
  <si>
    <t>Regression Beta - Microsoft - 5 years Monthly</t>
  </si>
  <si>
    <t>Regression Beta - Oracle - 5 years Monthly</t>
  </si>
  <si>
    <t>Oracle Monthly Returns</t>
  </si>
  <si>
    <t>Regression Beta - Accenture - 5 years Monthly</t>
  </si>
  <si>
    <t>Accenture Monthly Returns</t>
  </si>
  <si>
    <t>Regression Beta - SAP - 5 years Monthly</t>
  </si>
  <si>
    <t>SAP Monthly Returns</t>
  </si>
  <si>
    <t>Ireland</t>
  </si>
  <si>
    <t>IBM</t>
  </si>
  <si>
    <t>USA</t>
  </si>
  <si>
    <t>Regression Beta - IBM - 5 years Monthly</t>
  </si>
  <si>
    <t>IBM Monthly Returns</t>
  </si>
  <si>
    <t>1. Corporate tax rate of the country where the companies head quarters are situated</t>
  </si>
  <si>
    <t>Return on Markets</t>
  </si>
  <si>
    <t>Annual Return</t>
  </si>
  <si>
    <t xml:space="preserve">Average Return </t>
  </si>
  <si>
    <t>IBM - FCF Forcasting</t>
  </si>
  <si>
    <t>FCF</t>
  </si>
  <si>
    <t>FCF Growth</t>
  </si>
  <si>
    <t>Calculation of ROIC</t>
  </si>
  <si>
    <t>Current Assets</t>
  </si>
  <si>
    <t>Current Liabilities</t>
  </si>
  <si>
    <t>Net Working Capital</t>
  </si>
  <si>
    <t>Non Current Assets</t>
  </si>
  <si>
    <t>Net Non Current Assets</t>
  </si>
  <si>
    <t>Invested Capital</t>
  </si>
  <si>
    <t>ROIC</t>
  </si>
  <si>
    <t>Calculation of Reinvestment Rate</t>
  </si>
  <si>
    <t>Net Capex</t>
  </si>
  <si>
    <t>Change in Working Capital</t>
  </si>
  <si>
    <t>Marginal Tax Rate</t>
  </si>
  <si>
    <t>Reinvestment</t>
  </si>
  <si>
    <t>EBIT(1-T)</t>
  </si>
  <si>
    <t>Reinvestment Rate</t>
  </si>
  <si>
    <t>4 Year Average</t>
  </si>
  <si>
    <t>4 Year Median</t>
  </si>
  <si>
    <t>Calculation of Growth Rate</t>
  </si>
  <si>
    <t>Intrensic Growth</t>
  </si>
  <si>
    <t>Calculation of Intrinsic Growth</t>
  </si>
  <si>
    <t>Calculation of PV of FCFF</t>
  </si>
  <si>
    <t>Less: Reinvestment Rate</t>
  </si>
  <si>
    <t>Free Cash Flow to Firm (FCFF)</t>
  </si>
  <si>
    <t>Discounting Factor</t>
  </si>
  <si>
    <t>PV of FCFF</t>
  </si>
  <si>
    <t>Expected Growth</t>
  </si>
  <si>
    <t>Terminal Growth</t>
  </si>
  <si>
    <t>WACC</t>
  </si>
  <si>
    <t>Calculation of Terminal Value</t>
  </si>
  <si>
    <t>FCFF (n+1)</t>
  </si>
  <si>
    <t>Terminal Growth Rate</t>
  </si>
  <si>
    <t>Terminal Value</t>
  </si>
  <si>
    <t>PV of Terminal Value</t>
  </si>
  <si>
    <t>Value of Operating Assets</t>
  </si>
  <si>
    <t>Add: Cash</t>
  </si>
  <si>
    <t>Less: Debt</t>
  </si>
  <si>
    <t>Calculation of Equity Value Per Share</t>
  </si>
  <si>
    <t>Value of Equity</t>
  </si>
  <si>
    <t>No. of Shares</t>
  </si>
  <si>
    <t>Equity Value Per Share</t>
  </si>
  <si>
    <t>Share Price on 5/09/2024</t>
  </si>
  <si>
    <t>Discount/Premium</t>
  </si>
  <si>
    <t>IBM (International Business Machines Corporation) DCF</t>
  </si>
  <si>
    <t>Implied Share Price</t>
  </si>
  <si>
    <t>Today's Share Price</t>
  </si>
  <si>
    <t>Sensitivity Analysis</t>
  </si>
  <si>
    <t>($ (USD) in millions except per share amounts)</t>
  </si>
  <si>
    <t>($ (USD) in millions)</t>
  </si>
  <si>
    <t>All figures are in $ (USD) millions unless stated otherwise</t>
  </si>
  <si>
    <t>IBM Sector wise Revenue</t>
  </si>
  <si>
    <t>IBM Sector wise Cost</t>
  </si>
  <si>
    <t>IBM EBIT vs Net Income</t>
  </si>
  <si>
    <t>IBM Gross Profit vs Net Income</t>
  </si>
  <si>
    <t>IBM Earnings Per Share of Common Stock (Basic)</t>
  </si>
  <si>
    <t>IBM Earnings Per Share of Common Stock (Diluted)</t>
  </si>
  <si>
    <t>IBM Total Assets</t>
  </si>
  <si>
    <t>IBM Total Liabilities</t>
  </si>
  <si>
    <t>IBM Cash Flow Statement</t>
  </si>
  <si>
    <t>YTD vs PYTD cash and cash equivalents</t>
  </si>
  <si>
    <t>IBM YTD vs PYTD Total Cash Flow</t>
  </si>
  <si>
    <t>Charts and Visualisations</t>
  </si>
  <si>
    <t>Liquidity Ratios</t>
  </si>
  <si>
    <t>Solvency Ratios</t>
  </si>
  <si>
    <t>Efficiency Ratios</t>
  </si>
  <si>
    <t>Notes and accounts receivable—trade</t>
  </si>
  <si>
    <t>Charts on Trend Analysis of Profitability Ratios for the Past 10 years</t>
  </si>
  <si>
    <t>Charts on Trend Analysis of Liquidity Ratios for the Past 10 years</t>
  </si>
  <si>
    <t>Charts on Trend Analysis of Solvency Ratios for the Past 10 years</t>
  </si>
  <si>
    <t>Charts on Trend Analysis of Efficiency Ratios for the Past 10 years</t>
  </si>
  <si>
    <t>Financial Statement Forcasting - IBM</t>
  </si>
  <si>
    <t>Key Metrics Forcasting - IBM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</si>
</sst>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164" formatCode="#,##0;\(#,##0\)"/>
    <numFmt numFmtId="165" formatCode="#,##0.00;\(#,##0.00\)"/>
    <numFmt numFmtId="166" formatCode="yyyy\E"/>
    <numFmt numFmtId="167" formatCode="yyyy"/>
    <numFmt numFmtId="168" formatCode="yyyy\A"/>
    <numFmt numFmtId="169" formatCode="mmm/yyyy"/>
    <numFmt numFmtId="170" formatCode="0.00&quot;x&quot;"/>
    <numFmt numFmtId="171" formatCode="mmm/yyyy&quot;A&quot;"/>
    <numFmt numFmtId="172" formatCode="mmm/yyyy&quot;F&quot;"/>
    <numFmt numFmtId="173" formatCode="0.000"/>
    <numFmt numFmtId="174" formatCode="0.00\x"/>
    <numFmt numFmtId="175" formatCode="_-[$$-409]* #,##0.00_ ;_-[$$-409]* \-#,##0.00\ ;_-[$$-409]* &quot;-&quot;??_ ;_-@_ "/>
  </numFmts>
  <fonts count="38" x14ac:knownFonts="1">
    <font>
      <sz val="10"/>
      <color rgb="FF000000"/>
      <name val="Times New Roman"/>
      <charset val="204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Times New Roman"/>
      <charset val="204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sz val="11"/>
      <color rgb="FF231F20"/>
      <name val="Calibri"/>
      <family val="2"/>
      <scheme val="minor"/>
    </font>
    <font>
      <b/>
      <sz val="11"/>
      <color rgb="FF231F2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22222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11"/>
      <color rgb="FF222220"/>
      <name val="Calibri"/>
      <family val="2"/>
      <scheme val="minor"/>
    </font>
    <font>
      <sz val="11"/>
      <color rgb="FF000000"/>
      <name val="Times New Roman"/>
      <family val="1"/>
    </font>
    <font>
      <sz val="11"/>
      <color rgb="FF263A8B"/>
      <name val="Calibri"/>
      <family val="2"/>
      <scheme val="minor"/>
    </font>
    <font>
      <sz val="11"/>
      <color rgb="FF1157A1"/>
      <name val="Calibri"/>
      <family val="2"/>
      <scheme val="minor"/>
    </font>
    <font>
      <i/>
      <sz val="11"/>
      <color theme="3" tint="-0.249977111117893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i/>
      <sz val="10"/>
      <color rgb="FF000000"/>
      <name val="Calibri"/>
      <family val="2"/>
      <scheme val="minor"/>
    </font>
    <font>
      <vertAlign val="superscript"/>
      <sz val="11"/>
      <color rgb="FF000000"/>
      <name val="Calibri"/>
      <family val="2"/>
      <scheme val="minor"/>
    </font>
    <font>
      <i/>
      <sz val="9"/>
      <color rgb="FF00000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222220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rgb="FF222220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 style="dotted">
        <color theme="4" tint="-0.24994659260841701"/>
      </top>
      <bottom style="dotted">
        <color theme="4" tint="-0.24994659260841701"/>
      </bottom>
      <diagonal/>
    </border>
    <border>
      <left/>
      <right/>
      <top style="dotted">
        <color theme="4" tint="-0.24994659260841701"/>
      </top>
      <bottom/>
      <diagonal/>
    </border>
    <border>
      <left/>
      <right/>
      <top/>
      <bottom style="dotted">
        <color theme="4" tint="-0.24994659260841701"/>
      </bottom>
      <diagonal/>
    </border>
    <border>
      <left/>
      <right/>
      <top style="dotted">
        <color theme="4" tint="-0.24994659260841701"/>
      </top>
      <bottom style="double">
        <color theme="4" tint="-0.24994659260841701"/>
      </bottom>
      <diagonal/>
    </border>
    <border>
      <left/>
      <right/>
      <top style="thin">
        <color theme="4" tint="-0.24994659260841701"/>
      </top>
      <bottom/>
      <diagonal/>
    </border>
    <border>
      <left/>
      <right/>
      <top style="thin">
        <color theme="4" tint="-0.24994659260841701"/>
      </top>
      <bottom style="double">
        <color theme="4" tint="-0.24994659260841701"/>
      </bottom>
      <diagonal/>
    </border>
    <border>
      <left/>
      <right/>
      <top/>
      <bottom style="thin">
        <color theme="4" tint="-0.24994659260841701"/>
      </bottom>
      <diagonal/>
    </border>
    <border>
      <left/>
      <right/>
      <top style="hair">
        <color theme="4" tint="-0.24994659260841701"/>
      </top>
      <bottom/>
      <diagonal/>
    </border>
    <border>
      <left/>
      <right/>
      <top style="hair">
        <color theme="4" tint="-0.24994659260841701"/>
      </top>
      <bottom style="double">
        <color theme="4" tint="-0.2499465926084170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theme="3" tint="-0.24994659260841701"/>
      </top>
      <bottom style="thin">
        <color theme="3" tint="-0.24994659260841701"/>
      </bottom>
      <diagonal/>
    </border>
    <border>
      <left/>
      <right/>
      <top style="medium">
        <color theme="3" tint="-0.24994659260841701"/>
      </top>
      <bottom/>
      <diagonal/>
    </border>
    <border>
      <left/>
      <right/>
      <top style="thin">
        <color theme="3" tint="-0.24994659260841701"/>
      </top>
      <bottom/>
      <diagonal/>
    </border>
    <border>
      <left/>
      <right/>
      <top style="thin">
        <color theme="3" tint="-0.24994659260841701"/>
      </top>
      <bottom style="medium">
        <color theme="3" tint="-0.24994659260841701"/>
      </bottom>
      <diagonal/>
    </border>
    <border>
      <left/>
      <right/>
      <top/>
      <bottom style="thin">
        <color theme="3" tint="-0.24994659260841701"/>
      </bottom>
      <diagonal/>
    </border>
  </borders>
  <cellStyleXfs count="2">
    <xf numFmtId="0" fontId="0" fillId="0" borderId="0"/>
    <xf numFmtId="9" fontId="9" fillId="0" borderId="0" applyFont="0" applyFill="0" applyBorder="0" applyAlignment="0" applyProtection="0"/>
  </cellStyleXfs>
  <cellXfs count="351">
    <xf numFmtId="0" fontId="0" fillId="0" borderId="0" xfId="0" applyFill="1" applyBorder="1" applyAlignment="1">
      <alignment horizontal="left" vertical="top"/>
    </xf>
    <xf numFmtId="0" fontId="7" fillId="0" borderId="0" xfId="0" applyFont="1" applyFill="1" applyBorder="1" applyAlignment="1">
      <alignment horizontal="left" vertical="top"/>
    </xf>
    <xf numFmtId="0" fontId="7" fillId="0" borderId="0" xfId="0" applyFont="1" applyFill="1" applyBorder="1" applyAlignment="1">
      <alignment horizontal="right" vertical="top"/>
    </xf>
    <xf numFmtId="0" fontId="15" fillId="0" borderId="0" xfId="0" applyFont="1" applyFill="1" applyBorder="1" applyAlignment="1">
      <alignment horizontal="left" vertical="top"/>
    </xf>
    <xf numFmtId="169" fontId="12" fillId="3" borderId="0" xfId="0" applyNumberFormat="1" applyFont="1" applyFill="1" applyBorder="1" applyAlignment="1">
      <alignment horizontal="right" vertical="top"/>
    </xf>
    <xf numFmtId="0" fontId="15" fillId="0" borderId="0" xfId="0" applyFont="1" applyFill="1" applyBorder="1" applyAlignment="1">
      <alignment horizontal="left"/>
    </xf>
    <xf numFmtId="0" fontId="16" fillId="4" borderId="0" xfId="0" applyFont="1" applyFill="1" applyBorder="1" applyAlignment="1">
      <alignment horizontal="right" vertical="top"/>
    </xf>
    <xf numFmtId="164" fontId="15" fillId="0" borderId="0" xfId="0" applyNumberFormat="1" applyFont="1" applyFill="1" applyBorder="1" applyAlignment="1">
      <alignment horizontal="right" vertical="top"/>
    </xf>
    <xf numFmtId="0" fontId="17" fillId="0" borderId="0" xfId="0" applyFont="1" applyFill="1" applyBorder="1" applyAlignment="1">
      <alignment horizontal="right" vertical="top"/>
    </xf>
    <xf numFmtId="10" fontId="17" fillId="0" borderId="0" xfId="1" applyNumberFormat="1" applyFont="1" applyFill="1" applyBorder="1" applyAlignment="1">
      <alignment horizontal="right" vertical="top"/>
    </xf>
    <xf numFmtId="0" fontId="15" fillId="0" borderId="0" xfId="0" applyFont="1" applyFill="1" applyBorder="1" applyAlignment="1">
      <alignment horizontal="right" vertical="top"/>
    </xf>
    <xf numFmtId="2" fontId="15" fillId="0" borderId="0" xfId="0" applyNumberFormat="1" applyFont="1" applyFill="1" applyBorder="1" applyAlignment="1">
      <alignment horizontal="right" vertical="top"/>
    </xf>
    <xf numFmtId="0" fontId="15" fillId="4" borderId="0" xfId="0" applyFont="1" applyFill="1" applyBorder="1" applyAlignment="1">
      <alignment horizontal="right" vertical="top"/>
    </xf>
    <xf numFmtId="0" fontId="19" fillId="0" borderId="0" xfId="0" applyFont="1" applyFill="1" applyBorder="1" applyAlignment="1">
      <alignment horizontal="left" vertical="top" wrapText="1"/>
    </xf>
    <xf numFmtId="0" fontId="15" fillId="0" borderId="0" xfId="0" applyFont="1" applyFill="1" applyBorder="1" applyAlignment="1">
      <alignment horizontal="left" vertical="top" wrapText="1"/>
    </xf>
    <xf numFmtId="0" fontId="21" fillId="0" borderId="0" xfId="0" applyFont="1" applyFill="1" applyBorder="1" applyAlignment="1">
      <alignment horizontal="left" vertical="top" wrapText="1"/>
    </xf>
    <xf numFmtId="164" fontId="16" fillId="0" borderId="0" xfId="0" applyNumberFormat="1" applyFont="1" applyFill="1" applyBorder="1" applyAlignment="1">
      <alignment horizontal="right" vertical="top"/>
    </xf>
    <xf numFmtId="0" fontId="20" fillId="0" borderId="0" xfId="0" applyFont="1" applyFill="1" applyBorder="1" applyAlignment="1">
      <alignment horizontal="left" vertical="top" wrapText="1"/>
    </xf>
    <xf numFmtId="0" fontId="22" fillId="0" borderId="0" xfId="0" applyFont="1" applyFill="1" applyBorder="1" applyAlignment="1">
      <alignment horizontal="left" vertical="top" wrapText="1"/>
    </xf>
    <xf numFmtId="0" fontId="18" fillId="0" borderId="0" xfId="0" applyFont="1" applyFill="1" applyBorder="1" applyAlignment="1">
      <alignment horizontal="left" vertical="top" wrapText="1"/>
    </xf>
    <xf numFmtId="0" fontId="23" fillId="0" borderId="0" xfId="0" applyFont="1" applyFill="1" applyBorder="1" applyAlignment="1">
      <alignment horizontal="right" vertical="top"/>
    </xf>
    <xf numFmtId="0" fontId="16" fillId="0" borderId="0" xfId="0" applyFont="1" applyFill="1" applyBorder="1" applyAlignment="1">
      <alignment horizontal="left" vertical="top" wrapText="1"/>
    </xf>
    <xf numFmtId="0" fontId="12" fillId="3" borderId="0" xfId="0" applyFont="1" applyFill="1" applyBorder="1" applyAlignment="1">
      <alignment horizontal="left" vertical="top" wrapText="1"/>
    </xf>
    <xf numFmtId="0" fontId="17" fillId="0" borderId="0" xfId="0" applyFont="1" applyFill="1" applyBorder="1" applyAlignment="1">
      <alignment horizontal="left" vertical="top" wrapText="1"/>
    </xf>
    <xf numFmtId="0" fontId="23" fillId="0" borderId="0" xfId="0" applyFont="1" applyFill="1" applyBorder="1" applyAlignment="1">
      <alignment horizontal="left" vertical="top" wrapText="1"/>
    </xf>
    <xf numFmtId="0" fontId="8" fillId="4" borderId="0" xfId="0" applyFont="1" applyFill="1" applyBorder="1" applyAlignment="1">
      <alignment horizontal="left" vertical="top" wrapText="1"/>
    </xf>
    <xf numFmtId="0" fontId="21" fillId="0" borderId="24" xfId="0" applyFont="1" applyFill="1" applyBorder="1" applyAlignment="1">
      <alignment horizontal="left" vertical="top" wrapText="1"/>
    </xf>
    <xf numFmtId="164" fontId="16" fillId="0" borderId="24" xfId="0" applyNumberFormat="1" applyFont="1" applyFill="1" applyBorder="1" applyAlignment="1">
      <alignment horizontal="right" vertical="top"/>
    </xf>
    <xf numFmtId="0" fontId="16" fillId="0" borderId="24" xfId="0" applyFont="1" applyFill="1" applyBorder="1" applyAlignment="1">
      <alignment horizontal="left" vertical="top" wrapText="1"/>
    </xf>
    <xf numFmtId="10" fontId="15" fillId="0" borderId="0" xfId="1" applyNumberFormat="1" applyFont="1" applyFill="1" applyBorder="1" applyAlignment="1">
      <alignment horizontal="right" vertical="top"/>
    </xf>
    <xf numFmtId="10" fontId="15" fillId="0" borderId="0" xfId="0" applyNumberFormat="1" applyFont="1" applyFill="1" applyBorder="1" applyAlignment="1">
      <alignment horizontal="right" vertical="top"/>
    </xf>
    <xf numFmtId="170" fontId="15" fillId="0" borderId="0" xfId="0" applyNumberFormat="1" applyFont="1" applyFill="1" applyBorder="1" applyAlignment="1">
      <alignment horizontal="right" vertical="top"/>
    </xf>
    <xf numFmtId="1" fontId="15" fillId="0" borderId="0" xfId="0" applyNumberFormat="1" applyFont="1" applyFill="1" applyBorder="1" applyAlignment="1">
      <alignment horizontal="right" vertical="top"/>
    </xf>
    <xf numFmtId="0" fontId="15" fillId="0" borderId="25" xfId="0" applyFont="1" applyFill="1" applyBorder="1" applyAlignment="1">
      <alignment horizontal="left" vertical="top"/>
    </xf>
    <xf numFmtId="10" fontId="15" fillId="0" borderId="25" xfId="1" applyNumberFormat="1" applyFont="1" applyFill="1" applyBorder="1" applyAlignment="1">
      <alignment horizontal="right" vertical="top"/>
    </xf>
    <xf numFmtId="0" fontId="15" fillId="0" borderId="26" xfId="0" applyFont="1" applyFill="1" applyBorder="1" applyAlignment="1">
      <alignment horizontal="left" vertical="top"/>
    </xf>
    <xf numFmtId="0" fontId="15" fillId="0" borderId="26" xfId="0" applyFont="1" applyFill="1" applyBorder="1" applyAlignment="1">
      <alignment horizontal="right" vertical="top"/>
    </xf>
    <xf numFmtId="10" fontId="15" fillId="0" borderId="26" xfId="1" applyNumberFormat="1" applyFont="1" applyFill="1" applyBorder="1" applyAlignment="1">
      <alignment horizontal="right" vertical="top"/>
    </xf>
    <xf numFmtId="10" fontId="15" fillId="0" borderId="25" xfId="0" applyNumberFormat="1" applyFont="1" applyFill="1" applyBorder="1" applyAlignment="1">
      <alignment horizontal="right" vertical="top"/>
    </xf>
    <xf numFmtId="10" fontId="15" fillId="0" borderId="26" xfId="0" applyNumberFormat="1" applyFont="1" applyFill="1" applyBorder="1" applyAlignment="1">
      <alignment horizontal="right" vertical="top"/>
    </xf>
    <xf numFmtId="170" fontId="15" fillId="0" borderId="26" xfId="0" applyNumberFormat="1" applyFont="1" applyFill="1" applyBorder="1" applyAlignment="1">
      <alignment horizontal="right" vertical="top"/>
    </xf>
    <xf numFmtId="170" fontId="15" fillId="0" borderId="25" xfId="0" applyNumberFormat="1" applyFont="1" applyFill="1" applyBorder="1" applyAlignment="1">
      <alignment horizontal="right" vertical="top"/>
    </xf>
    <xf numFmtId="1" fontId="15" fillId="0" borderId="25" xfId="0" applyNumberFormat="1" applyFont="1" applyFill="1" applyBorder="1" applyAlignment="1">
      <alignment horizontal="right" vertical="top"/>
    </xf>
    <xf numFmtId="1" fontId="15" fillId="0" borderId="26" xfId="0" applyNumberFormat="1" applyFont="1" applyFill="1" applyBorder="1" applyAlignment="1">
      <alignment horizontal="right" vertical="top"/>
    </xf>
    <xf numFmtId="0" fontId="15" fillId="0" borderId="0" xfId="0" applyFont="1" applyFill="1" applyBorder="1" applyAlignment="1">
      <alignment horizontal="center" vertical="top"/>
    </xf>
    <xf numFmtId="169" fontId="12" fillId="3" borderId="0" xfId="0" applyNumberFormat="1" applyFont="1" applyFill="1" applyBorder="1" applyAlignment="1">
      <alignment horizontal="center" vertical="top"/>
    </xf>
    <xf numFmtId="0" fontId="21" fillId="0" borderId="4" xfId="0" applyFont="1" applyFill="1" applyBorder="1" applyAlignment="1">
      <alignment horizontal="left" vertical="top" wrapText="1"/>
    </xf>
    <xf numFmtId="1" fontId="19" fillId="2" borderId="5" xfId="0" applyNumberFormat="1" applyFont="1" applyFill="1" applyBorder="1" applyAlignment="1">
      <alignment vertical="top" shrinkToFit="1"/>
    </xf>
    <xf numFmtId="1" fontId="19" fillId="2" borderId="9" xfId="0" applyNumberFormat="1" applyFont="1" applyFill="1" applyBorder="1" applyAlignment="1">
      <alignment vertical="top" shrinkToFit="1"/>
    </xf>
    <xf numFmtId="0" fontId="21" fillId="0" borderId="1" xfId="0" applyFont="1" applyFill="1" applyBorder="1" applyAlignment="1">
      <alignment horizontal="left" vertical="top" wrapText="1"/>
    </xf>
    <xf numFmtId="164" fontId="15" fillId="0" borderId="0" xfId="0" applyNumberFormat="1" applyFont="1" applyFill="1" applyBorder="1" applyAlignment="1">
      <alignment vertical="center" wrapText="1"/>
    </xf>
    <xf numFmtId="164" fontId="15" fillId="0" borderId="14" xfId="0" applyNumberFormat="1" applyFont="1" applyFill="1" applyBorder="1" applyAlignment="1">
      <alignment vertical="center" wrapText="1"/>
    </xf>
    <xf numFmtId="0" fontId="20" fillId="0" borderId="1" xfId="0" applyFont="1" applyFill="1" applyBorder="1" applyAlignment="1">
      <alignment horizontal="left" vertical="top" wrapText="1" indent="1"/>
    </xf>
    <xf numFmtId="164" fontId="18" fillId="0" borderId="0" xfId="0" applyNumberFormat="1" applyFont="1" applyFill="1" applyBorder="1" applyAlignment="1">
      <alignment vertical="top" shrinkToFit="1"/>
    </xf>
    <xf numFmtId="164" fontId="18" fillId="0" borderId="14" xfId="0" applyNumberFormat="1" applyFont="1" applyFill="1" applyBorder="1" applyAlignment="1">
      <alignment vertical="top" shrinkToFit="1"/>
    </xf>
    <xf numFmtId="0" fontId="21" fillId="0" borderId="17" xfId="0" applyFont="1" applyFill="1" applyBorder="1" applyAlignment="1">
      <alignment horizontal="left" vertical="top" wrapText="1"/>
    </xf>
    <xf numFmtId="164" fontId="19" fillId="0" borderId="6" xfId="0" applyNumberFormat="1" applyFont="1" applyFill="1" applyBorder="1" applyAlignment="1">
      <alignment vertical="top" shrinkToFit="1"/>
    </xf>
    <xf numFmtId="164" fontId="19" fillId="0" borderId="18" xfId="0" applyNumberFormat="1" applyFont="1" applyFill="1" applyBorder="1" applyAlignment="1">
      <alignment vertical="top" shrinkToFit="1"/>
    </xf>
    <xf numFmtId="0" fontId="21" fillId="0" borderId="19" xfId="0" applyFont="1" applyFill="1" applyBorder="1" applyAlignment="1">
      <alignment horizontal="left" vertical="top" wrapText="1"/>
    </xf>
    <xf numFmtId="164" fontId="19" fillId="0" borderId="7" xfId="0" applyNumberFormat="1" applyFont="1" applyFill="1" applyBorder="1" applyAlignment="1">
      <alignment vertical="top" shrinkToFit="1"/>
    </xf>
    <xf numFmtId="164" fontId="19" fillId="0" borderId="20" xfId="0" applyNumberFormat="1" applyFont="1" applyFill="1" applyBorder="1" applyAlignment="1">
      <alignment vertical="top" shrinkToFit="1"/>
    </xf>
    <xf numFmtId="164" fontId="15" fillId="0" borderId="0" xfId="0" applyNumberFormat="1" applyFont="1" applyFill="1" applyBorder="1" applyAlignment="1">
      <alignment horizontal="left" vertical="top"/>
    </xf>
    <xf numFmtId="164" fontId="19" fillId="0" borderId="5" xfId="0" applyNumberFormat="1" applyFont="1" applyFill="1" applyBorder="1" applyAlignment="1">
      <alignment vertical="top" shrinkToFit="1"/>
    </xf>
    <xf numFmtId="164" fontId="19" fillId="0" borderId="9" xfId="0" applyNumberFormat="1" applyFont="1" applyFill="1" applyBorder="1" applyAlignment="1">
      <alignment vertical="top" shrinkToFit="1"/>
    </xf>
    <xf numFmtId="0" fontId="21" fillId="0" borderId="4" xfId="0" applyFont="1" applyFill="1" applyBorder="1" applyAlignment="1">
      <alignment horizontal="left" vertical="top"/>
    </xf>
    <xf numFmtId="0" fontId="20" fillId="0" borderId="1" xfId="0" applyFont="1" applyFill="1" applyBorder="1" applyAlignment="1">
      <alignment horizontal="left" vertical="top" wrapText="1"/>
    </xf>
    <xf numFmtId="0" fontId="15" fillId="0" borderId="1" xfId="0" applyFont="1" applyFill="1" applyBorder="1" applyAlignment="1">
      <alignment horizontal="left" vertical="top" wrapText="1"/>
    </xf>
    <xf numFmtId="164" fontId="15" fillId="0" borderId="0" xfId="0" applyNumberFormat="1" applyFont="1" applyFill="1" applyBorder="1" applyAlignment="1">
      <alignment vertical="top" wrapText="1"/>
    </xf>
    <xf numFmtId="164" fontId="15" fillId="0" borderId="14" xfId="0" applyNumberFormat="1" applyFont="1" applyFill="1" applyBorder="1" applyAlignment="1">
      <alignment vertical="top" wrapText="1"/>
    </xf>
    <xf numFmtId="0" fontId="20" fillId="0" borderId="1" xfId="0" applyFont="1" applyFill="1" applyBorder="1" applyAlignment="1">
      <alignment horizontal="left" vertical="top" wrapText="1" indent="2"/>
    </xf>
    <xf numFmtId="165" fontId="18" fillId="0" borderId="0" xfId="0" applyNumberFormat="1" applyFont="1" applyFill="1" applyBorder="1" applyAlignment="1">
      <alignment vertical="top" shrinkToFit="1"/>
    </xf>
    <xf numFmtId="165" fontId="18" fillId="0" borderId="14" xfId="0" applyNumberFormat="1" applyFont="1" applyFill="1" applyBorder="1" applyAlignment="1">
      <alignment vertical="top" shrinkToFit="1"/>
    </xf>
    <xf numFmtId="0" fontId="21" fillId="0" borderId="21" xfId="0" applyFont="1" applyFill="1" applyBorder="1" applyAlignment="1">
      <alignment horizontal="left" vertical="top" wrapText="1" indent="1"/>
    </xf>
    <xf numFmtId="165" fontId="19" fillId="0" borderId="12" xfId="0" applyNumberFormat="1" applyFont="1" applyFill="1" applyBorder="1" applyAlignment="1">
      <alignment vertical="top" shrinkToFit="1"/>
    </xf>
    <xf numFmtId="165" fontId="19" fillId="0" borderId="22" xfId="0" applyNumberFormat="1" applyFont="1" applyFill="1" applyBorder="1" applyAlignment="1">
      <alignment vertical="top" shrinkToFit="1"/>
    </xf>
    <xf numFmtId="0" fontId="21" fillId="0" borderId="19" xfId="0" applyFont="1" applyFill="1" applyBorder="1" applyAlignment="1">
      <alignment horizontal="left" vertical="top" wrapText="1" indent="1"/>
    </xf>
    <xf numFmtId="165" fontId="15" fillId="0" borderId="7" xfId="0" applyNumberFormat="1" applyFont="1" applyFill="1" applyBorder="1" applyAlignment="1">
      <alignment vertical="center" wrapText="1"/>
    </xf>
    <xf numFmtId="165" fontId="15" fillId="0" borderId="20" xfId="0" applyNumberFormat="1" applyFont="1" applyFill="1" applyBorder="1" applyAlignment="1">
      <alignment vertical="center" wrapText="1"/>
    </xf>
    <xf numFmtId="0" fontId="21" fillId="0" borderId="1" xfId="0" applyFont="1" applyFill="1" applyBorder="1" applyAlignment="1">
      <alignment horizontal="left" vertical="top"/>
    </xf>
    <xf numFmtId="0" fontId="25" fillId="0" borderId="0" xfId="0" applyFont="1" applyFill="1" applyBorder="1" applyAlignment="1">
      <alignment horizontal="left" wrapText="1"/>
    </xf>
    <xf numFmtId="0" fontId="15" fillId="0" borderId="14" xfId="0" applyFont="1" applyFill="1" applyBorder="1" applyAlignment="1">
      <alignment horizontal="left" vertical="top"/>
    </xf>
    <xf numFmtId="0" fontId="20" fillId="0" borderId="2" xfId="0" applyFont="1" applyFill="1" applyBorder="1" applyAlignment="1">
      <alignment horizontal="left" vertical="top" wrapText="1" indent="2"/>
    </xf>
    <xf numFmtId="164" fontId="18" fillId="0" borderId="3" xfId="0" applyNumberFormat="1" applyFont="1" applyFill="1" applyBorder="1" applyAlignment="1">
      <alignment vertical="top" shrinkToFit="1"/>
    </xf>
    <xf numFmtId="164" fontId="18" fillId="0" borderId="15" xfId="0" applyNumberFormat="1" applyFont="1" applyFill="1" applyBorder="1" applyAlignment="1">
      <alignment vertical="top" shrinkToFit="1"/>
    </xf>
    <xf numFmtId="0" fontId="15" fillId="0" borderId="0" xfId="0" applyFont="1" applyFill="1" applyBorder="1" applyAlignment="1">
      <alignment vertical="top"/>
    </xf>
    <xf numFmtId="1" fontId="19" fillId="2" borderId="5" xfId="0" applyNumberFormat="1" applyFont="1" applyFill="1" applyBorder="1" applyAlignment="1">
      <alignment horizontal="right" vertical="top" shrinkToFit="1"/>
    </xf>
    <xf numFmtId="1" fontId="19" fillId="2" borderId="9" xfId="0" applyNumberFormat="1" applyFont="1" applyFill="1" applyBorder="1" applyAlignment="1">
      <alignment horizontal="right" vertical="top" shrinkToFit="1"/>
    </xf>
    <xf numFmtId="164" fontId="18" fillId="0" borderId="0" xfId="0" applyNumberFormat="1" applyFont="1" applyFill="1" applyBorder="1" applyAlignment="1">
      <alignment horizontal="right" vertical="top" shrinkToFit="1"/>
    </xf>
    <xf numFmtId="164" fontId="18" fillId="0" borderId="14" xfId="0" applyNumberFormat="1" applyFont="1" applyFill="1" applyBorder="1" applyAlignment="1">
      <alignment horizontal="right" vertical="top" shrinkToFit="1"/>
    </xf>
    <xf numFmtId="164" fontId="15" fillId="0" borderId="0" xfId="0" applyNumberFormat="1" applyFont="1" applyFill="1" applyBorder="1" applyAlignment="1">
      <alignment horizontal="right" vertical="center" wrapText="1"/>
    </xf>
    <xf numFmtId="0" fontId="21" fillId="0" borderId="1" xfId="0" applyFont="1" applyFill="1" applyBorder="1" applyAlignment="1">
      <alignment horizontal="left" vertical="top" wrapText="1" indent="2"/>
    </xf>
    <xf numFmtId="164" fontId="19" fillId="0" borderId="0" xfId="0" applyNumberFormat="1" applyFont="1" applyFill="1" applyBorder="1" applyAlignment="1">
      <alignment horizontal="right" vertical="top" shrinkToFit="1"/>
    </xf>
    <xf numFmtId="164" fontId="19" fillId="0" borderId="14" xfId="0" applyNumberFormat="1" applyFont="1" applyFill="1" applyBorder="1" applyAlignment="1">
      <alignment horizontal="right" vertical="top" shrinkToFit="1"/>
    </xf>
    <xf numFmtId="164" fontId="15" fillId="0" borderId="14" xfId="0" applyNumberFormat="1" applyFont="1" applyFill="1" applyBorder="1" applyAlignment="1">
      <alignment horizontal="right" vertical="center" wrapText="1"/>
    </xf>
    <xf numFmtId="0" fontId="20" fillId="0" borderId="1" xfId="0" applyFont="1" applyFill="1" applyBorder="1" applyAlignment="1">
      <alignment horizontal="left" vertical="top" wrapText="1" indent="4"/>
    </xf>
    <xf numFmtId="0" fontId="21" fillId="0" borderId="17" xfId="0" applyFont="1" applyFill="1" applyBorder="1" applyAlignment="1">
      <alignment horizontal="left" vertical="top" wrapText="1" indent="2"/>
    </xf>
    <xf numFmtId="164" fontId="19" fillId="0" borderId="6" xfId="0" applyNumberFormat="1" applyFont="1" applyFill="1" applyBorder="1" applyAlignment="1">
      <alignment horizontal="right" vertical="top" shrinkToFit="1"/>
    </xf>
    <xf numFmtId="164" fontId="19" fillId="0" borderId="18" xfId="0" applyNumberFormat="1" applyFont="1" applyFill="1" applyBorder="1" applyAlignment="1">
      <alignment horizontal="right" vertical="top" shrinkToFit="1"/>
    </xf>
    <xf numFmtId="164" fontId="19" fillId="0" borderId="5" xfId="0" applyNumberFormat="1" applyFont="1" applyFill="1" applyBorder="1" applyAlignment="1">
      <alignment horizontal="right" vertical="top" shrinkToFit="1"/>
    </xf>
    <xf numFmtId="164" fontId="19" fillId="0" borderId="9" xfId="0" applyNumberFormat="1" applyFont="1" applyFill="1" applyBorder="1" applyAlignment="1">
      <alignment horizontal="right" vertical="top" shrinkToFit="1"/>
    </xf>
    <xf numFmtId="0" fontId="25" fillId="0" borderId="0" xfId="0" applyFont="1" applyFill="1" applyBorder="1" applyAlignment="1">
      <alignment horizontal="right" vertical="top"/>
    </xf>
    <xf numFmtId="0" fontId="19" fillId="0" borderId="1" xfId="0" applyFont="1" applyFill="1" applyBorder="1" applyAlignment="1">
      <alignment horizontal="left" vertical="top" wrapText="1"/>
    </xf>
    <xf numFmtId="0" fontId="15" fillId="0" borderId="8" xfId="0" applyFont="1" applyFill="1" applyBorder="1" applyAlignment="1">
      <alignment horizontal="left" wrapText="1"/>
    </xf>
    <xf numFmtId="0" fontId="15" fillId="0" borderId="16" xfId="0" applyFont="1" applyFill="1" applyBorder="1" applyAlignment="1">
      <alignment horizontal="left" wrapText="1"/>
    </xf>
    <xf numFmtId="0" fontId="15" fillId="0" borderId="14" xfId="0" applyFont="1" applyFill="1" applyBorder="1" applyAlignment="1">
      <alignment horizontal="left" wrapText="1"/>
    </xf>
    <xf numFmtId="164" fontId="6" fillId="0" borderId="0" xfId="0" applyNumberFormat="1" applyFont="1" applyFill="1" applyBorder="1" applyAlignment="1">
      <alignment horizontal="right" vertical="top"/>
    </xf>
    <xf numFmtId="0" fontId="18" fillId="0" borderId="1" xfId="0" applyFont="1" applyFill="1" applyBorder="1" applyAlignment="1">
      <alignment horizontal="left" vertical="top" wrapText="1" indent="2"/>
    </xf>
    <xf numFmtId="164" fontId="6" fillId="0" borderId="14" xfId="0" applyNumberFormat="1" applyFont="1" applyFill="1" applyBorder="1" applyAlignment="1">
      <alignment horizontal="right" vertical="top"/>
    </xf>
    <xf numFmtId="0" fontId="22" fillId="0" borderId="1" xfId="0" applyFont="1" applyFill="1" applyBorder="1" applyAlignment="1">
      <alignment horizontal="left" vertical="top" wrapText="1"/>
    </xf>
    <xf numFmtId="0" fontId="18" fillId="0" borderId="1" xfId="0" applyFont="1" applyFill="1" applyBorder="1" applyAlignment="1">
      <alignment horizontal="left" vertical="top" wrapText="1"/>
    </xf>
    <xf numFmtId="0" fontId="22" fillId="0" borderId="1" xfId="0" applyFont="1" applyFill="1" applyBorder="1" applyAlignment="1">
      <alignment horizontal="left" vertical="top" wrapText="1" indent="2"/>
    </xf>
    <xf numFmtId="0" fontId="16" fillId="2" borderId="5" xfId="0" applyFont="1" applyFill="1" applyBorder="1" applyAlignment="1">
      <alignment horizontal="right" vertical="top"/>
    </xf>
    <xf numFmtId="0" fontId="16" fillId="2" borderId="9" xfId="0" applyFont="1" applyFill="1" applyBorder="1" applyAlignment="1">
      <alignment horizontal="right" vertical="top"/>
    </xf>
    <xf numFmtId="164" fontId="15" fillId="0" borderId="14" xfId="0" applyNumberFormat="1" applyFont="1" applyFill="1" applyBorder="1" applyAlignment="1">
      <alignment horizontal="right" vertical="top"/>
    </xf>
    <xf numFmtId="164" fontId="16" fillId="0" borderId="5" xfId="0" applyNumberFormat="1" applyFont="1" applyFill="1" applyBorder="1" applyAlignment="1">
      <alignment horizontal="right" vertical="top"/>
    </xf>
    <xf numFmtId="164" fontId="16" fillId="0" borderId="9" xfId="0" applyNumberFormat="1" applyFont="1" applyFill="1" applyBorder="1" applyAlignment="1">
      <alignment horizontal="right" vertical="top"/>
    </xf>
    <xf numFmtId="164" fontId="16" fillId="0" borderId="6" xfId="0" applyNumberFormat="1" applyFont="1" applyFill="1" applyBorder="1" applyAlignment="1">
      <alignment horizontal="right" vertical="top"/>
    </xf>
    <xf numFmtId="164" fontId="15" fillId="0" borderId="3" xfId="0" applyNumberFormat="1" applyFont="1" applyFill="1" applyBorder="1" applyAlignment="1">
      <alignment horizontal="right" vertical="top"/>
    </xf>
    <xf numFmtId="164" fontId="15" fillId="0" borderId="15" xfId="0" applyNumberFormat="1" applyFont="1" applyFill="1" applyBorder="1" applyAlignment="1">
      <alignment horizontal="right" vertical="top"/>
    </xf>
    <xf numFmtId="3" fontId="15" fillId="0" borderId="0" xfId="0" applyNumberFormat="1" applyFont="1" applyFill="1" applyBorder="1" applyAlignment="1">
      <alignment horizontal="left" vertical="top"/>
    </xf>
    <xf numFmtId="0" fontId="16" fillId="0" borderId="1" xfId="0" applyFont="1" applyFill="1" applyBorder="1" applyAlignment="1">
      <alignment horizontal="left" vertical="top" wrapText="1"/>
    </xf>
    <xf numFmtId="0" fontId="15" fillId="0" borderId="1" xfId="0" applyFont="1" applyFill="1" applyBorder="1" applyAlignment="1">
      <alignment horizontal="left" vertical="top" wrapText="1" indent="2"/>
    </xf>
    <xf numFmtId="0" fontId="16" fillId="0" borderId="4" xfId="0" applyFont="1" applyFill="1" applyBorder="1" applyAlignment="1">
      <alignment horizontal="left" vertical="top" wrapText="1"/>
    </xf>
    <xf numFmtId="0" fontId="15" fillId="0" borderId="2" xfId="0" applyFont="1" applyFill="1" applyBorder="1" applyAlignment="1">
      <alignment horizontal="left" vertical="top" wrapText="1"/>
    </xf>
    <xf numFmtId="0" fontId="15" fillId="3" borderId="0" xfId="0" applyFont="1" applyFill="1" applyBorder="1" applyAlignment="1">
      <alignment horizontal="left" vertical="top"/>
    </xf>
    <xf numFmtId="1" fontId="19" fillId="0" borderId="0" xfId="0" applyNumberFormat="1" applyFont="1" applyFill="1" applyBorder="1" applyAlignment="1">
      <alignment horizontal="left" vertical="top" shrinkToFit="1"/>
    </xf>
    <xf numFmtId="2" fontId="16" fillId="0" borderId="0" xfId="1" applyNumberFormat="1" applyFont="1" applyFill="1" applyBorder="1" applyAlignment="1">
      <alignment horizontal="right" vertical="top"/>
    </xf>
    <xf numFmtId="164" fontId="18" fillId="4" borderId="0" xfId="0" applyNumberFormat="1" applyFont="1" applyFill="1" applyBorder="1" applyAlignment="1">
      <alignment horizontal="right" vertical="top" shrinkToFit="1"/>
    </xf>
    <xf numFmtId="2" fontId="16" fillId="4" borderId="0" xfId="1" applyNumberFormat="1" applyFont="1" applyFill="1" applyBorder="1" applyAlignment="1">
      <alignment horizontal="right" vertical="top"/>
    </xf>
    <xf numFmtId="10" fontId="16" fillId="0" borderId="0" xfId="0" applyNumberFormat="1" applyFont="1" applyFill="1" applyBorder="1" applyAlignment="1">
      <alignment horizontal="right" vertical="top"/>
    </xf>
    <xf numFmtId="10" fontId="16" fillId="0" borderId="0" xfId="1" applyNumberFormat="1" applyFont="1" applyFill="1" applyBorder="1" applyAlignment="1">
      <alignment horizontal="right" vertical="top"/>
    </xf>
    <xf numFmtId="0" fontId="6" fillId="0" borderId="0" xfId="0" applyFont="1" applyFill="1" applyBorder="1" applyAlignment="1">
      <alignment vertical="top" wrapText="1"/>
    </xf>
    <xf numFmtId="0" fontId="6" fillId="0" borderId="0" xfId="0" applyFont="1" applyFill="1" applyBorder="1" applyAlignment="1">
      <alignment vertical="top"/>
    </xf>
    <xf numFmtId="1" fontId="19" fillId="0" borderId="0" xfId="0" applyNumberFormat="1" applyFont="1" applyFill="1" applyBorder="1" applyAlignment="1">
      <alignment horizontal="right" vertical="top" shrinkToFit="1"/>
    </xf>
    <xf numFmtId="1" fontId="12" fillId="3" borderId="0" xfId="0" applyNumberFormat="1" applyFont="1" applyFill="1" applyBorder="1" applyAlignment="1">
      <alignment horizontal="right" vertical="top" shrinkToFit="1"/>
    </xf>
    <xf numFmtId="0" fontId="28" fillId="0" borderId="0" xfId="0" applyFont="1" applyFill="1" applyBorder="1" applyAlignment="1">
      <alignment vertical="top" wrapText="1"/>
    </xf>
    <xf numFmtId="10" fontId="28" fillId="0" borderId="0" xfId="0" applyNumberFormat="1" applyFont="1" applyFill="1" applyBorder="1" applyAlignment="1">
      <alignment horizontal="right" vertical="top"/>
    </xf>
    <xf numFmtId="10" fontId="28" fillId="0" borderId="0" xfId="1" applyNumberFormat="1" applyFont="1" applyFill="1" applyBorder="1" applyAlignment="1">
      <alignment horizontal="right" vertical="top"/>
    </xf>
    <xf numFmtId="0" fontId="28" fillId="0" borderId="0" xfId="0" applyFont="1" applyFill="1" applyBorder="1" applyAlignment="1">
      <alignment vertical="top"/>
    </xf>
    <xf numFmtId="0" fontId="15" fillId="4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 wrapText="1"/>
    </xf>
    <xf numFmtId="9" fontId="16" fillId="0" borderId="0" xfId="1" applyNumberFormat="1" applyFont="1" applyFill="1" applyBorder="1" applyAlignment="1">
      <alignment horizontal="right" vertical="top"/>
    </xf>
    <xf numFmtId="0" fontId="5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/>
    </xf>
    <xf numFmtId="9" fontId="16" fillId="0" borderId="0" xfId="1" applyFont="1" applyFill="1" applyBorder="1" applyAlignment="1">
      <alignment horizontal="right" vertical="top"/>
    </xf>
    <xf numFmtId="0" fontId="16" fillId="4" borderId="0" xfId="0" applyFont="1" applyFill="1" applyBorder="1" applyAlignment="1">
      <alignment horizontal="left" vertical="top"/>
    </xf>
    <xf numFmtId="0" fontId="16" fillId="0" borderId="0" xfId="0" applyFont="1" applyFill="1" applyBorder="1" applyAlignment="1">
      <alignment horizontal="right" vertical="top"/>
    </xf>
    <xf numFmtId="0" fontId="16" fillId="0" borderId="0" xfId="0" applyFont="1" applyFill="1" applyBorder="1" applyAlignment="1">
      <alignment horizontal="left" vertical="top"/>
    </xf>
    <xf numFmtId="0" fontId="11" fillId="0" borderId="0" xfId="0" applyFont="1" applyFill="1" applyBorder="1" applyAlignment="1">
      <alignment vertical="top"/>
    </xf>
    <xf numFmtId="0" fontId="12" fillId="3" borderId="0" xfId="0" applyFont="1" applyFill="1" applyBorder="1" applyAlignment="1">
      <alignment horizontal="center" vertical="top"/>
    </xf>
    <xf numFmtId="0" fontId="12" fillId="0" borderId="0" xfId="0" applyFont="1" applyFill="1" applyBorder="1" applyAlignment="1">
      <alignment vertical="top"/>
    </xf>
    <xf numFmtId="10" fontId="23" fillId="0" borderId="0" xfId="1" applyNumberFormat="1" applyFont="1" applyFill="1" applyBorder="1" applyAlignment="1">
      <alignment horizontal="right" vertical="top"/>
    </xf>
    <xf numFmtId="0" fontId="17" fillId="0" borderId="0" xfId="0" applyFont="1" applyFill="1" applyBorder="1" applyAlignment="1">
      <alignment horizontal="left" vertical="top"/>
    </xf>
    <xf numFmtId="9" fontId="17" fillId="0" borderId="0" xfId="1" applyNumberFormat="1" applyFont="1" applyFill="1" applyBorder="1" applyAlignment="1">
      <alignment horizontal="right" vertical="top"/>
    </xf>
    <xf numFmtId="0" fontId="8" fillId="4" borderId="0" xfId="0" applyFont="1" applyFill="1" applyBorder="1" applyAlignment="1">
      <alignment horizontal="left" vertical="top"/>
    </xf>
    <xf numFmtId="0" fontId="21" fillId="0" borderId="6" xfId="0" applyFont="1" applyFill="1" applyBorder="1" applyAlignment="1">
      <alignment horizontal="left" vertical="top" wrapText="1"/>
    </xf>
    <xf numFmtId="0" fontId="21" fillId="0" borderId="7" xfId="0" applyFont="1" applyFill="1" applyBorder="1" applyAlignment="1">
      <alignment horizontal="left" vertical="top" wrapText="1"/>
    </xf>
    <xf numFmtId="0" fontId="21" fillId="0" borderId="5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vertical="top"/>
    </xf>
    <xf numFmtId="0" fontId="7" fillId="0" borderId="0" xfId="0" applyFont="1" applyFill="1" applyBorder="1" applyAlignment="1">
      <alignment horizontal="left"/>
    </xf>
    <xf numFmtId="0" fontId="21" fillId="0" borderId="0" xfId="0" applyFont="1" applyFill="1" applyBorder="1" applyAlignment="1">
      <alignment horizontal="left" vertical="top" wrapText="1" indent="2"/>
    </xf>
    <xf numFmtId="0" fontId="20" fillId="0" borderId="0" xfId="0" applyFont="1" applyFill="1" applyBorder="1" applyAlignment="1">
      <alignment horizontal="left" vertical="top" wrapText="1" indent="4"/>
    </xf>
    <xf numFmtId="0" fontId="20" fillId="0" borderId="0" xfId="0" applyFont="1" applyFill="1" applyBorder="1" applyAlignment="1">
      <alignment horizontal="left" vertical="top" wrapText="1" indent="2"/>
    </xf>
    <xf numFmtId="0" fontId="18" fillId="0" borderId="0" xfId="0" applyFont="1" applyFill="1" applyBorder="1" applyAlignment="1">
      <alignment horizontal="left" vertical="top" wrapText="1" indent="2"/>
    </xf>
    <xf numFmtId="0" fontId="22" fillId="0" borderId="0" xfId="0" applyFont="1" applyFill="1" applyBorder="1" applyAlignment="1">
      <alignment horizontal="left" vertical="top" wrapText="1" indent="2"/>
    </xf>
    <xf numFmtId="0" fontId="12" fillId="3" borderId="0" xfId="0" applyFont="1" applyFill="1" applyBorder="1" applyAlignment="1">
      <alignment horizontal="left" vertical="top"/>
    </xf>
    <xf numFmtId="0" fontId="15" fillId="0" borderId="0" xfId="0" applyFont="1" applyFill="1" applyBorder="1" applyAlignment="1">
      <alignment horizontal="left" vertical="top" wrapText="1" indent="2"/>
    </xf>
    <xf numFmtId="0" fontId="16" fillId="0" borderId="5" xfId="0" applyFont="1" applyFill="1" applyBorder="1" applyAlignment="1">
      <alignment horizontal="left" vertical="top" wrapText="1"/>
    </xf>
    <xf numFmtId="0" fontId="16" fillId="0" borderId="6" xfId="0" applyFont="1" applyFill="1" applyBorder="1" applyAlignment="1">
      <alignment horizontal="left" vertical="top" wrapText="1"/>
    </xf>
    <xf numFmtId="168" fontId="12" fillId="3" borderId="0" xfId="0" applyNumberFormat="1" applyFont="1" applyFill="1" applyBorder="1" applyAlignment="1">
      <alignment vertical="top" shrinkToFit="1"/>
    </xf>
    <xf numFmtId="166" fontId="12" fillId="3" borderId="0" xfId="0" applyNumberFormat="1" applyFont="1" applyFill="1" applyBorder="1" applyAlignment="1">
      <alignment horizontal="right" vertical="top" shrinkToFit="1"/>
    </xf>
    <xf numFmtId="0" fontId="12" fillId="0" borderId="0" xfId="0" applyFont="1" applyFill="1" applyBorder="1" applyAlignment="1">
      <alignment horizontal="left" vertical="top"/>
    </xf>
    <xf numFmtId="167" fontId="12" fillId="0" borderId="0" xfId="0" applyNumberFormat="1" applyFont="1" applyFill="1" applyBorder="1" applyAlignment="1">
      <alignment vertical="top" shrinkToFit="1"/>
    </xf>
    <xf numFmtId="166" fontId="12" fillId="0" borderId="0" xfId="0" applyNumberFormat="1" applyFont="1" applyFill="1" applyBorder="1" applyAlignment="1">
      <alignment horizontal="right" vertical="top" shrinkToFit="1"/>
    </xf>
    <xf numFmtId="0" fontId="19" fillId="4" borderId="0" xfId="0" applyFont="1" applyFill="1" applyBorder="1" applyAlignment="1">
      <alignment horizontal="left" vertical="top" wrapText="1"/>
    </xf>
    <xf numFmtId="167" fontId="19" fillId="4" borderId="0" xfId="0" applyNumberFormat="1" applyFont="1" applyFill="1" applyBorder="1" applyAlignment="1">
      <alignment vertical="top" shrinkToFit="1"/>
    </xf>
    <xf numFmtId="166" fontId="19" fillId="4" borderId="0" xfId="0" applyNumberFormat="1" applyFont="1" applyFill="1" applyBorder="1" applyAlignment="1">
      <alignment horizontal="right" vertical="top" shrinkToFit="1"/>
    </xf>
    <xf numFmtId="164" fontId="29" fillId="0" borderId="0" xfId="0" applyNumberFormat="1" applyFont="1" applyFill="1" applyBorder="1" applyAlignment="1">
      <alignment vertical="top" shrinkToFit="1"/>
    </xf>
    <xf numFmtId="164" fontId="4" fillId="0" borderId="0" xfId="0" applyNumberFormat="1" applyFont="1" applyFill="1" applyBorder="1" applyAlignment="1">
      <alignment horizontal="right" vertical="top" shrinkToFit="1"/>
    </xf>
    <xf numFmtId="164" fontId="29" fillId="0" borderId="0" xfId="0" applyNumberFormat="1" applyFont="1" applyFill="1" applyBorder="1" applyAlignment="1">
      <alignment horizontal="right" vertical="top"/>
    </xf>
    <xf numFmtId="164" fontId="19" fillId="0" borderId="0" xfId="0" applyNumberFormat="1" applyFont="1" applyFill="1" applyBorder="1" applyAlignment="1">
      <alignment vertical="top" shrinkToFit="1"/>
    </xf>
    <xf numFmtId="0" fontId="21" fillId="0" borderId="23" xfId="0" applyFont="1" applyFill="1" applyBorder="1" applyAlignment="1">
      <alignment horizontal="left" vertical="top" wrapText="1"/>
    </xf>
    <xf numFmtId="164" fontId="30" fillId="0" borderId="0" xfId="0" applyNumberFormat="1" applyFont="1" applyFill="1" applyBorder="1" applyAlignment="1">
      <alignment horizontal="right" vertical="top" shrinkToFit="1"/>
    </xf>
    <xf numFmtId="164" fontId="29" fillId="0" borderId="0" xfId="0" applyNumberFormat="1" applyFont="1" applyFill="1" applyBorder="1" applyAlignment="1">
      <alignment horizontal="right" vertical="top" shrinkToFit="1"/>
    </xf>
    <xf numFmtId="0" fontId="21" fillId="0" borderId="7" xfId="0" applyFont="1" applyFill="1" applyBorder="1" applyAlignment="1">
      <alignment horizontal="left" vertical="top" wrapText="1" indent="2"/>
    </xf>
    <xf numFmtId="164" fontId="13" fillId="0" borderId="7" xfId="0" applyNumberFormat="1" applyFont="1" applyFill="1" applyBorder="1" applyAlignment="1">
      <alignment horizontal="right" vertical="top" shrinkToFit="1"/>
    </xf>
    <xf numFmtId="0" fontId="21" fillId="0" borderId="7" xfId="0" applyFont="1" applyFill="1" applyBorder="1" applyAlignment="1">
      <alignment horizontal="left" vertical="top" indent="2"/>
    </xf>
    <xf numFmtId="164" fontId="19" fillId="0" borderId="7" xfId="0" applyNumberFormat="1" applyFont="1" applyFill="1" applyBorder="1" applyAlignment="1">
      <alignment horizontal="right" vertical="top" shrinkToFit="1"/>
    </xf>
    <xf numFmtId="164" fontId="19" fillId="0" borderId="23" xfId="0" applyNumberFormat="1" applyFont="1" applyFill="1" applyBorder="1" applyAlignment="1">
      <alignment horizontal="right" vertical="top" shrinkToFit="1"/>
    </xf>
    <xf numFmtId="0" fontId="15" fillId="0" borderId="0" xfId="0" applyFont="1" applyFill="1" applyBorder="1" applyAlignment="1">
      <alignment horizontal="left" wrapText="1"/>
    </xf>
    <xf numFmtId="164" fontId="4" fillId="0" borderId="0" xfId="0" applyNumberFormat="1" applyFont="1" applyFill="1" applyBorder="1" applyAlignment="1">
      <alignment horizontal="right" vertical="top"/>
    </xf>
    <xf numFmtId="0" fontId="12" fillId="0" borderId="0" xfId="0" applyFont="1" applyFill="1" applyBorder="1" applyAlignment="1">
      <alignment horizontal="left" vertical="top" wrapText="1"/>
    </xf>
    <xf numFmtId="1" fontId="12" fillId="0" borderId="0" xfId="0" applyNumberFormat="1" applyFont="1" applyFill="1" applyBorder="1" applyAlignment="1">
      <alignment horizontal="right" vertical="top" shrinkToFit="1"/>
    </xf>
    <xf numFmtId="1" fontId="12" fillId="4" borderId="0" xfId="0" applyNumberFormat="1" applyFont="1" applyFill="1" applyBorder="1" applyAlignment="1">
      <alignment horizontal="right" vertical="top" shrinkToFit="1"/>
    </xf>
    <xf numFmtId="0" fontId="21" fillId="0" borderId="0" xfId="0" applyFont="1" applyFill="1" applyBorder="1" applyAlignment="1">
      <alignment horizontal="left" vertical="top"/>
    </xf>
    <xf numFmtId="0" fontId="20" fillId="0" borderId="0" xfId="0" applyFont="1" applyFill="1" applyBorder="1" applyAlignment="1">
      <alignment horizontal="left" vertical="top" indent="1"/>
    </xf>
    <xf numFmtId="0" fontId="20" fillId="0" borderId="0" xfId="0" applyFont="1" applyFill="1" applyBorder="1" applyAlignment="1">
      <alignment horizontal="left" vertical="top"/>
    </xf>
    <xf numFmtId="0" fontId="21" fillId="0" borderId="0" xfId="0" applyFont="1" applyFill="1" applyBorder="1" applyAlignment="1">
      <alignment horizontal="left" vertical="top" indent="2"/>
    </xf>
    <xf numFmtId="0" fontId="20" fillId="0" borderId="0" xfId="0" applyFont="1" applyFill="1" applyBorder="1" applyAlignment="1">
      <alignment horizontal="left" vertical="top" indent="4"/>
    </xf>
    <xf numFmtId="0" fontId="21" fillId="0" borderId="24" xfId="0" applyFont="1" applyFill="1" applyBorder="1" applyAlignment="1">
      <alignment horizontal="left" vertical="top"/>
    </xf>
    <xf numFmtId="10" fontId="16" fillId="0" borderId="24" xfId="1" applyNumberFormat="1" applyFont="1" applyFill="1" applyBorder="1" applyAlignment="1">
      <alignment horizontal="right" vertical="top"/>
    </xf>
    <xf numFmtId="0" fontId="21" fillId="0" borderId="27" xfId="0" applyFont="1" applyFill="1" applyBorder="1" applyAlignment="1">
      <alignment horizontal="left" vertical="top"/>
    </xf>
    <xf numFmtId="10" fontId="16" fillId="0" borderId="27" xfId="1" applyNumberFormat="1" applyFont="1" applyFill="1" applyBorder="1" applyAlignment="1">
      <alignment horizontal="right" vertical="top"/>
    </xf>
    <xf numFmtId="0" fontId="21" fillId="0" borderId="24" xfId="0" applyFont="1" applyFill="1" applyBorder="1" applyAlignment="1">
      <alignment horizontal="left" vertical="top" indent="2"/>
    </xf>
    <xf numFmtId="10" fontId="16" fillId="0" borderId="24" xfId="0" applyNumberFormat="1" applyFont="1" applyFill="1" applyBorder="1" applyAlignment="1">
      <alignment horizontal="right" vertical="top"/>
    </xf>
    <xf numFmtId="0" fontId="21" fillId="0" borderId="27" xfId="0" applyFont="1" applyFill="1" applyBorder="1" applyAlignment="1">
      <alignment horizontal="left" vertical="top" wrapText="1"/>
    </xf>
    <xf numFmtId="10" fontId="16" fillId="0" borderId="27" xfId="0" applyNumberFormat="1" applyFont="1" applyFill="1" applyBorder="1" applyAlignment="1">
      <alignment horizontal="right" vertical="top"/>
    </xf>
    <xf numFmtId="0" fontId="16" fillId="0" borderId="27" xfId="0" applyFont="1" applyFill="1" applyBorder="1" applyAlignment="1">
      <alignment horizontal="left" vertical="top" wrapText="1"/>
    </xf>
    <xf numFmtId="10" fontId="18" fillId="0" borderId="0" xfId="1" applyNumberFormat="1" applyFont="1" applyFill="1" applyBorder="1" applyAlignment="1">
      <alignment horizontal="right" vertical="top" shrinkToFit="1"/>
    </xf>
    <xf numFmtId="10" fontId="31" fillId="0" borderId="0" xfId="1" applyNumberFormat="1" applyFont="1" applyFill="1" applyBorder="1" applyAlignment="1">
      <alignment horizontal="right" vertical="top" shrinkToFit="1"/>
    </xf>
    <xf numFmtId="10" fontId="31" fillId="0" borderId="0" xfId="1" applyNumberFormat="1" applyFont="1" applyFill="1" applyBorder="1" applyAlignment="1">
      <alignment vertical="top" shrinkToFit="1"/>
    </xf>
    <xf numFmtId="164" fontId="31" fillId="0" borderId="0" xfId="0" applyNumberFormat="1" applyFont="1" applyFill="1" applyBorder="1" applyAlignment="1">
      <alignment vertical="top" shrinkToFit="1"/>
    </xf>
    <xf numFmtId="164" fontId="32" fillId="0" borderId="0" xfId="0" applyNumberFormat="1" applyFont="1" applyFill="1" applyBorder="1" applyAlignment="1">
      <alignment vertical="top" shrinkToFit="1"/>
    </xf>
    <xf numFmtId="0" fontId="16" fillId="0" borderId="28" xfId="0" applyFont="1" applyFill="1" applyBorder="1" applyAlignment="1">
      <alignment horizontal="left" vertical="top" wrapText="1"/>
    </xf>
    <xf numFmtId="164" fontId="16" fillId="0" borderId="28" xfId="0" applyNumberFormat="1" applyFont="1" applyFill="1" applyBorder="1" applyAlignment="1">
      <alignment horizontal="right" vertical="top"/>
    </xf>
    <xf numFmtId="0" fontId="16" fillId="0" borderId="29" xfId="0" applyFont="1" applyFill="1" applyBorder="1" applyAlignment="1">
      <alignment horizontal="left" vertical="top" wrapText="1"/>
    </xf>
    <xf numFmtId="164" fontId="16" fillId="0" borderId="29" xfId="0" applyNumberFormat="1" applyFont="1" applyFill="1" applyBorder="1" applyAlignment="1">
      <alignment horizontal="right" vertical="top"/>
    </xf>
    <xf numFmtId="0" fontId="12" fillId="3" borderId="0" xfId="0" applyFont="1" applyFill="1" applyBorder="1" applyAlignment="1">
      <alignment horizontal="right" vertical="top"/>
    </xf>
    <xf numFmtId="10" fontId="15" fillId="5" borderId="0" xfId="1" applyNumberFormat="1" applyFont="1" applyFill="1" applyBorder="1" applyAlignment="1">
      <alignment horizontal="right" vertical="top"/>
    </xf>
    <xf numFmtId="164" fontId="15" fillId="6" borderId="0" xfId="0" applyNumberFormat="1" applyFont="1" applyFill="1" applyBorder="1" applyAlignment="1">
      <alignment horizontal="right" vertical="top"/>
    </xf>
    <xf numFmtId="10" fontId="15" fillId="6" borderId="0" xfId="1" applyNumberFormat="1" applyFont="1" applyFill="1" applyBorder="1" applyAlignment="1">
      <alignment horizontal="right" vertical="top"/>
    </xf>
    <xf numFmtId="168" fontId="3" fillId="0" borderId="0" xfId="0" applyNumberFormat="1" applyFont="1" applyFill="1" applyBorder="1" applyAlignment="1">
      <alignment horizontal="right" vertical="top"/>
    </xf>
    <xf numFmtId="0" fontId="15" fillId="6" borderId="0" xfId="0" applyFont="1" applyFill="1" applyBorder="1" applyAlignment="1">
      <alignment horizontal="left" vertical="top"/>
    </xf>
    <xf numFmtId="166" fontId="3" fillId="6" borderId="0" xfId="0" applyNumberFormat="1" applyFont="1" applyFill="1" applyBorder="1" applyAlignment="1">
      <alignment horizontal="right" vertical="top"/>
    </xf>
    <xf numFmtId="165" fontId="15" fillId="0" borderId="0" xfId="0" applyNumberFormat="1" applyFont="1" applyFill="1" applyBorder="1" applyAlignment="1">
      <alignment horizontal="right" vertical="top"/>
    </xf>
    <xf numFmtId="165" fontId="15" fillId="6" borderId="0" xfId="0" applyNumberFormat="1" applyFont="1" applyFill="1" applyBorder="1" applyAlignment="1">
      <alignment horizontal="right" vertical="top"/>
    </xf>
    <xf numFmtId="2" fontId="15" fillId="6" borderId="0" xfId="0" applyNumberFormat="1" applyFont="1" applyFill="1" applyBorder="1" applyAlignment="1">
      <alignment horizontal="right" vertical="top"/>
    </xf>
    <xf numFmtId="0" fontId="33" fillId="0" borderId="0" xfId="0" applyFont="1" applyFill="1" applyBorder="1" applyAlignment="1">
      <alignment horizontal="left" vertical="top"/>
    </xf>
    <xf numFmtId="0" fontId="15" fillId="0" borderId="28" xfId="0" applyFont="1" applyFill="1" applyBorder="1" applyAlignment="1">
      <alignment horizontal="left" vertical="top"/>
    </xf>
    <xf numFmtId="0" fontId="15" fillId="0" borderId="30" xfId="0" applyFont="1" applyFill="1" applyBorder="1" applyAlignment="1">
      <alignment horizontal="left" vertical="top"/>
    </xf>
    <xf numFmtId="0" fontId="15" fillId="0" borderId="30" xfId="0" applyFont="1" applyFill="1" applyBorder="1" applyAlignment="1">
      <alignment horizontal="left"/>
    </xf>
    <xf numFmtId="0" fontId="15" fillId="0" borderId="30" xfId="0" applyFont="1" applyFill="1" applyBorder="1" applyAlignment="1">
      <alignment horizontal="right"/>
    </xf>
    <xf numFmtId="0" fontId="15" fillId="0" borderId="30" xfId="0" applyFont="1" applyFill="1" applyBorder="1" applyAlignment="1">
      <alignment horizontal="right" vertical="top"/>
    </xf>
    <xf numFmtId="0" fontId="15" fillId="0" borderId="28" xfId="0" applyFont="1" applyFill="1" applyBorder="1" applyAlignment="1">
      <alignment horizontal="right"/>
    </xf>
    <xf numFmtId="2" fontId="15" fillId="5" borderId="0" xfId="0" applyNumberFormat="1" applyFont="1" applyFill="1" applyBorder="1" applyAlignment="1">
      <alignment horizontal="right" vertical="top"/>
    </xf>
    <xf numFmtId="0" fontId="16" fillId="0" borderId="28" xfId="0" applyFont="1" applyFill="1" applyBorder="1" applyAlignment="1">
      <alignment horizontal="left" vertical="top"/>
    </xf>
    <xf numFmtId="10" fontId="15" fillId="0" borderId="28" xfId="0" applyNumberFormat="1" applyFont="1" applyFill="1" applyBorder="1" applyAlignment="1">
      <alignment horizontal="right" vertical="top"/>
    </xf>
    <xf numFmtId="2" fontId="15" fillId="0" borderId="28" xfId="0" applyNumberFormat="1" applyFont="1" applyFill="1" applyBorder="1" applyAlignment="1">
      <alignment horizontal="right" vertical="top"/>
    </xf>
    <xf numFmtId="0" fontId="16" fillId="0" borderId="30" xfId="0" applyFont="1" applyFill="1" applyBorder="1" applyAlignment="1">
      <alignment horizontal="left" vertical="top"/>
    </xf>
    <xf numFmtId="10" fontId="15" fillId="0" borderId="30" xfId="0" applyNumberFormat="1" applyFont="1" applyFill="1" applyBorder="1" applyAlignment="1">
      <alignment horizontal="right" vertical="top"/>
    </xf>
    <xf numFmtId="2" fontId="15" fillId="0" borderId="30" xfId="0" applyNumberFormat="1" applyFont="1" applyFill="1" applyBorder="1" applyAlignment="1">
      <alignment horizontal="right" vertical="top"/>
    </xf>
    <xf numFmtId="0" fontId="15" fillId="0" borderId="31" xfId="0" applyFont="1" applyFill="1" applyBorder="1" applyAlignment="1">
      <alignment horizontal="left" vertical="top"/>
    </xf>
    <xf numFmtId="10" fontId="15" fillId="0" borderId="31" xfId="1" applyNumberFormat="1" applyFont="1" applyFill="1" applyBorder="1" applyAlignment="1">
      <alignment horizontal="right" vertical="top"/>
    </xf>
    <xf numFmtId="10" fontId="15" fillId="5" borderId="31" xfId="1" applyNumberFormat="1" applyFont="1" applyFill="1" applyBorder="1" applyAlignment="1">
      <alignment horizontal="right" vertical="top"/>
    </xf>
    <xf numFmtId="0" fontId="16" fillId="0" borderId="30" xfId="0" applyFont="1" applyFill="1" applyBorder="1" applyAlignment="1">
      <alignment horizontal="right" vertical="top"/>
    </xf>
    <xf numFmtId="3" fontId="31" fillId="0" borderId="0" xfId="0" applyNumberFormat="1" applyFont="1" applyFill="1" applyBorder="1" applyAlignment="1">
      <alignment horizontal="right" vertical="top"/>
    </xf>
    <xf numFmtId="10" fontId="15" fillId="0" borderId="31" xfId="0" applyNumberFormat="1" applyFont="1" applyFill="1" applyBorder="1" applyAlignment="1">
      <alignment horizontal="right" vertical="top"/>
    </xf>
    <xf numFmtId="10" fontId="15" fillId="5" borderId="0" xfId="0" applyNumberFormat="1" applyFont="1" applyFill="1" applyBorder="1" applyAlignment="1">
      <alignment horizontal="right" vertical="top"/>
    </xf>
    <xf numFmtId="2" fontId="15" fillId="5" borderId="31" xfId="0" applyNumberFormat="1" applyFont="1" applyFill="1" applyBorder="1" applyAlignment="1">
      <alignment horizontal="right" vertical="top"/>
    </xf>
    <xf numFmtId="0" fontId="35" fillId="0" borderId="0" xfId="0" applyFont="1" applyFill="1" applyBorder="1" applyAlignment="1">
      <alignment horizontal="left" vertical="top"/>
    </xf>
    <xf numFmtId="14" fontId="15" fillId="0" borderId="0" xfId="0" applyNumberFormat="1" applyFont="1" applyAlignment="1">
      <alignment horizontal="left"/>
    </xf>
    <xf numFmtId="0" fontId="13" fillId="0" borderId="30" xfId="0" applyFont="1" applyFill="1" applyBorder="1" applyAlignment="1">
      <alignment horizontal="left"/>
    </xf>
    <xf numFmtId="0" fontId="13" fillId="0" borderId="30" xfId="0" applyFont="1" applyFill="1" applyBorder="1" applyAlignment="1">
      <alignment horizontal="right"/>
    </xf>
    <xf numFmtId="2" fontId="15" fillId="0" borderId="0" xfId="0" applyNumberFormat="1" applyFont="1" applyAlignment="1">
      <alignment horizontal="right"/>
    </xf>
    <xf numFmtId="2" fontId="15" fillId="0" borderId="0" xfId="0" applyNumberFormat="1" applyFont="1"/>
    <xf numFmtId="0" fontId="23" fillId="0" borderId="33" xfId="0" applyFont="1" applyFill="1" applyBorder="1" applyAlignment="1">
      <alignment horizontal="centerContinuous" vertical="top"/>
    </xf>
    <xf numFmtId="0" fontId="15" fillId="0" borderId="3" xfId="0" applyFont="1" applyFill="1" applyBorder="1" applyAlignment="1">
      <alignment vertical="top"/>
    </xf>
    <xf numFmtId="0" fontId="23" fillId="0" borderId="33" xfId="0" applyFont="1" applyFill="1" applyBorder="1" applyAlignment="1">
      <alignment horizontal="center" vertical="top"/>
    </xf>
    <xf numFmtId="0" fontId="16" fillId="6" borderId="0" xfId="0" applyFont="1" applyFill="1" applyBorder="1" applyAlignment="1">
      <alignment horizontal="left" vertical="top"/>
    </xf>
    <xf numFmtId="2" fontId="16" fillId="6" borderId="0" xfId="0" applyNumberFormat="1" applyFont="1" applyFill="1" applyBorder="1" applyAlignment="1">
      <alignment horizontal="right" vertical="top"/>
    </xf>
    <xf numFmtId="0" fontId="11" fillId="3" borderId="0" xfId="0" applyFont="1" applyFill="1" applyBorder="1" applyAlignment="1">
      <alignment horizontal="left" vertical="top"/>
    </xf>
    <xf numFmtId="0" fontId="14" fillId="3" borderId="0" xfId="0" applyFont="1" applyFill="1" applyBorder="1" applyAlignment="1">
      <alignment horizontal="right" vertical="top"/>
    </xf>
    <xf numFmtId="0" fontId="14" fillId="3" borderId="0" xfId="0" applyFont="1" applyFill="1" applyBorder="1" applyAlignment="1">
      <alignment horizontal="left" vertical="top"/>
    </xf>
    <xf numFmtId="0" fontId="16" fillId="0" borderId="30" xfId="0" applyFont="1" applyBorder="1"/>
    <xf numFmtId="0" fontId="16" fillId="0" borderId="30" xfId="0" applyFont="1" applyBorder="1" applyAlignment="1">
      <alignment horizontal="right"/>
    </xf>
    <xf numFmtId="3" fontId="2" fillId="0" borderId="31" xfId="0" applyNumberFormat="1" applyFont="1" applyFill="1" applyBorder="1" applyAlignment="1">
      <alignment horizontal="right" vertical="top"/>
    </xf>
    <xf numFmtId="3" fontId="2" fillId="0" borderId="0" xfId="0" applyNumberFormat="1" applyFont="1" applyFill="1" applyBorder="1" applyAlignment="1">
      <alignment horizontal="right" vertical="top"/>
    </xf>
    <xf numFmtId="10" fontId="2" fillId="0" borderId="0" xfId="1" applyNumberFormat="1" applyFont="1" applyFill="1" applyBorder="1" applyAlignment="1">
      <alignment horizontal="right" vertical="top"/>
    </xf>
    <xf numFmtId="167" fontId="15" fillId="0" borderId="0" xfId="0" applyNumberFormat="1" applyFont="1" applyAlignment="1">
      <alignment horizontal="left"/>
    </xf>
    <xf numFmtId="10" fontId="16" fillId="6" borderId="0" xfId="0" applyNumberFormat="1" applyFont="1" applyFill="1" applyBorder="1" applyAlignment="1">
      <alignment horizontal="right" vertical="top"/>
    </xf>
    <xf numFmtId="0" fontId="14" fillId="0" borderId="0" xfId="0" applyFont="1" applyFill="1" applyBorder="1" applyAlignment="1">
      <alignment horizontal="left" vertical="top"/>
    </xf>
    <xf numFmtId="10" fontId="15" fillId="0" borderId="0" xfId="1" applyNumberFormat="1" applyFont="1" applyFill="1" applyBorder="1" applyAlignment="1">
      <alignment horizontal="left" vertical="top"/>
    </xf>
    <xf numFmtId="10" fontId="31" fillId="0" borderId="0" xfId="1" applyNumberFormat="1" applyFont="1" applyFill="1" applyBorder="1" applyAlignment="1">
      <alignment horizontal="right" vertical="top"/>
    </xf>
    <xf numFmtId="2" fontId="31" fillId="0" borderId="0" xfId="0" applyNumberFormat="1" applyFont="1" applyFill="1" applyBorder="1" applyAlignment="1">
      <alignment horizontal="right" vertical="top"/>
    </xf>
    <xf numFmtId="0" fontId="16" fillId="6" borderId="32" xfId="0" applyFont="1" applyFill="1" applyBorder="1" applyAlignment="1">
      <alignment horizontal="left" vertical="top"/>
    </xf>
    <xf numFmtId="0" fontId="16" fillId="6" borderId="32" xfId="0" applyFont="1" applyFill="1" applyBorder="1" applyAlignment="1">
      <alignment horizontal="right" vertical="top"/>
    </xf>
    <xf numFmtId="10" fontId="16" fillId="6" borderId="32" xfId="1" applyNumberFormat="1" applyFont="1" applyFill="1" applyBorder="1" applyAlignment="1">
      <alignment horizontal="right" vertical="top"/>
    </xf>
    <xf numFmtId="0" fontId="10" fillId="3" borderId="0" xfId="0" applyFont="1" applyFill="1" applyBorder="1" applyAlignment="1">
      <alignment horizontal="left" vertical="top"/>
    </xf>
    <xf numFmtId="0" fontId="20" fillId="0" borderId="34" xfId="0" applyFont="1" applyFill="1" applyBorder="1" applyAlignment="1">
      <alignment horizontal="left" vertical="top" wrapText="1"/>
    </xf>
    <xf numFmtId="0" fontId="15" fillId="0" borderId="34" xfId="0" applyFont="1" applyFill="1" applyBorder="1" applyAlignment="1">
      <alignment horizontal="left" vertical="top"/>
    </xf>
    <xf numFmtId="164" fontId="15" fillId="0" borderId="34" xfId="0" applyNumberFormat="1" applyFont="1" applyFill="1" applyBorder="1" applyAlignment="1">
      <alignment horizontal="right" vertical="top"/>
    </xf>
    <xf numFmtId="0" fontId="18" fillId="0" borderId="34" xfId="0" applyFont="1" applyFill="1" applyBorder="1" applyAlignment="1">
      <alignment horizontal="left" vertical="top"/>
    </xf>
    <xf numFmtId="0" fontId="20" fillId="0" borderId="34" xfId="0" applyFont="1" applyFill="1" applyBorder="1" applyAlignment="1">
      <alignment horizontal="left" vertical="top"/>
    </xf>
    <xf numFmtId="0" fontId="20" fillId="0" borderId="36" xfId="0" applyFont="1" applyFill="1" applyBorder="1" applyAlignment="1">
      <alignment horizontal="left" vertical="top"/>
    </xf>
    <xf numFmtId="0" fontId="15" fillId="0" borderId="36" xfId="0" applyFont="1" applyFill="1" applyBorder="1" applyAlignment="1">
      <alignment horizontal="left" vertical="top"/>
    </xf>
    <xf numFmtId="164" fontId="15" fillId="0" borderId="36" xfId="0" applyNumberFormat="1" applyFont="1" applyFill="1" applyBorder="1" applyAlignment="1">
      <alignment horizontal="right" vertical="top"/>
    </xf>
    <xf numFmtId="0" fontId="16" fillId="0" borderId="35" xfId="0" applyFont="1" applyFill="1" applyBorder="1" applyAlignment="1">
      <alignment horizontal="left" vertical="top"/>
    </xf>
    <xf numFmtId="0" fontId="15" fillId="0" borderId="35" xfId="0" applyFont="1" applyFill="1" applyBorder="1" applyAlignment="1">
      <alignment horizontal="left" vertical="top"/>
    </xf>
    <xf numFmtId="164" fontId="16" fillId="0" borderId="35" xfId="0" applyNumberFormat="1" applyFont="1" applyFill="1" applyBorder="1" applyAlignment="1">
      <alignment horizontal="right" vertical="top"/>
    </xf>
    <xf numFmtId="0" fontId="16" fillId="0" borderId="37" xfId="0" applyFont="1" applyFill="1" applyBorder="1" applyAlignment="1">
      <alignment horizontal="left" vertical="top"/>
    </xf>
    <xf numFmtId="164" fontId="16" fillId="0" borderId="37" xfId="0" applyNumberFormat="1" applyFont="1" applyFill="1" applyBorder="1" applyAlignment="1">
      <alignment horizontal="right" vertical="top"/>
    </xf>
    <xf numFmtId="0" fontId="15" fillId="0" borderId="37" xfId="0" applyFont="1" applyFill="1" applyBorder="1" applyAlignment="1">
      <alignment horizontal="left" vertical="top"/>
    </xf>
    <xf numFmtId="10" fontId="16" fillId="0" borderId="37" xfId="1" applyNumberFormat="1" applyFont="1" applyFill="1" applyBorder="1" applyAlignment="1">
      <alignment horizontal="right" vertical="top"/>
    </xf>
    <xf numFmtId="10" fontId="31" fillId="0" borderId="34" xfId="0" applyNumberFormat="1" applyFont="1" applyFill="1" applyBorder="1" applyAlignment="1">
      <alignment horizontal="right" vertical="top"/>
    </xf>
    <xf numFmtId="0" fontId="15" fillId="0" borderId="38" xfId="0" applyFont="1" applyFill="1" applyBorder="1" applyAlignment="1">
      <alignment horizontal="left" vertical="top"/>
    </xf>
    <xf numFmtId="10" fontId="15" fillId="0" borderId="38" xfId="0" applyNumberFormat="1" applyFont="1" applyFill="1" applyBorder="1" applyAlignment="1">
      <alignment horizontal="right" vertical="top"/>
    </xf>
    <xf numFmtId="10" fontId="15" fillId="0" borderId="34" xfId="0" applyNumberFormat="1" applyFont="1" applyFill="1" applyBorder="1" applyAlignment="1">
      <alignment horizontal="right" vertical="top"/>
    </xf>
    <xf numFmtId="164" fontId="15" fillId="0" borderId="38" xfId="0" applyNumberFormat="1" applyFont="1" applyFill="1" applyBorder="1" applyAlignment="1">
      <alignment horizontal="right" vertical="top"/>
    </xf>
    <xf numFmtId="10" fontId="16" fillId="0" borderId="37" xfId="0" applyNumberFormat="1" applyFont="1" applyFill="1" applyBorder="1" applyAlignment="1">
      <alignment horizontal="right" vertical="top"/>
    </xf>
    <xf numFmtId="171" fontId="12" fillId="3" borderId="0" xfId="0" applyNumberFormat="1" applyFont="1" applyFill="1" applyBorder="1" applyAlignment="1">
      <alignment horizontal="right" vertical="top"/>
    </xf>
    <xf numFmtId="172" fontId="12" fillId="3" borderId="0" xfId="0" applyNumberFormat="1" applyFont="1" applyFill="1" applyBorder="1" applyAlignment="1">
      <alignment horizontal="right" vertical="top"/>
    </xf>
    <xf numFmtId="10" fontId="15" fillId="0" borderId="0" xfId="0" applyNumberFormat="1" applyFont="1" applyFill="1" applyBorder="1" applyAlignment="1">
      <alignment horizontal="left" vertical="top"/>
    </xf>
    <xf numFmtId="10" fontId="31" fillId="6" borderId="0" xfId="0" applyNumberFormat="1" applyFont="1" applyFill="1" applyBorder="1" applyAlignment="1">
      <alignment horizontal="right" vertical="top"/>
    </xf>
    <xf numFmtId="10" fontId="15" fillId="6" borderId="0" xfId="0" applyNumberFormat="1" applyFont="1" applyFill="1" applyBorder="1" applyAlignment="1">
      <alignment horizontal="right" vertical="top"/>
    </xf>
    <xf numFmtId="0" fontId="15" fillId="5" borderId="0" xfId="0" applyFont="1" applyFill="1" applyBorder="1" applyAlignment="1">
      <alignment horizontal="left" vertical="top"/>
    </xf>
    <xf numFmtId="3" fontId="13" fillId="0" borderId="37" xfId="0" applyNumberFormat="1" applyFont="1" applyFill="1" applyBorder="1" applyAlignment="1">
      <alignment horizontal="right" vertical="top"/>
    </xf>
    <xf numFmtId="3" fontId="15" fillId="0" borderId="0" xfId="0" applyNumberFormat="1" applyFont="1" applyFill="1" applyBorder="1" applyAlignment="1">
      <alignment horizontal="right" vertical="top"/>
    </xf>
    <xf numFmtId="3" fontId="16" fillId="0" borderId="0" xfId="0" applyNumberFormat="1" applyFont="1" applyFill="1" applyBorder="1" applyAlignment="1">
      <alignment horizontal="right" vertical="top"/>
    </xf>
    <xf numFmtId="4" fontId="15" fillId="0" borderId="0" xfId="0" applyNumberFormat="1" applyFont="1" applyFill="1" applyBorder="1" applyAlignment="1">
      <alignment horizontal="right" vertical="top"/>
    </xf>
    <xf numFmtId="4" fontId="13" fillId="0" borderId="37" xfId="0" applyNumberFormat="1" applyFont="1" applyFill="1" applyBorder="1" applyAlignment="1">
      <alignment horizontal="right" vertical="top"/>
    </xf>
    <xf numFmtId="174" fontId="15" fillId="0" borderId="0" xfId="0" applyNumberFormat="1" applyFont="1" applyFill="1" applyBorder="1" applyAlignment="1">
      <alignment horizontal="right" vertical="top"/>
    </xf>
    <xf numFmtId="0" fontId="36" fillId="3" borderId="0" xfId="0" applyFont="1" applyFill="1" applyBorder="1" applyAlignment="1">
      <alignment horizontal="left" vertical="top"/>
    </xf>
    <xf numFmtId="14" fontId="15" fillId="0" borderId="0" xfId="0" applyNumberFormat="1" applyFont="1" applyFill="1" applyBorder="1" applyAlignment="1">
      <alignment horizontal="right" vertical="top"/>
    </xf>
    <xf numFmtId="175" fontId="16" fillId="7" borderId="36" xfId="0" applyNumberFormat="1" applyFont="1" applyFill="1" applyBorder="1" applyAlignment="1">
      <alignment horizontal="right" vertical="top"/>
    </xf>
    <xf numFmtId="175" fontId="16" fillId="7" borderId="38" xfId="0" applyNumberFormat="1" applyFont="1" applyFill="1" applyBorder="1" applyAlignment="1">
      <alignment horizontal="right" vertical="top"/>
    </xf>
    <xf numFmtId="10" fontId="16" fillId="7" borderId="36" xfId="0" applyNumberFormat="1" applyFont="1" applyFill="1" applyBorder="1" applyAlignment="1">
      <alignment horizontal="right" vertical="top"/>
    </xf>
    <xf numFmtId="174" fontId="15" fillId="0" borderId="38" xfId="0" applyNumberFormat="1" applyFont="1" applyFill="1" applyBorder="1" applyAlignment="1">
      <alignment horizontal="right" vertical="top"/>
    </xf>
    <xf numFmtId="3" fontId="2" fillId="5" borderId="0" xfId="0" applyNumberFormat="1" applyFont="1" applyFill="1" applyBorder="1" applyAlignment="1">
      <alignment horizontal="right" vertical="top"/>
    </xf>
    <xf numFmtId="10" fontId="31" fillId="5" borderId="0" xfId="0" applyNumberFormat="1" applyFont="1" applyFill="1" applyBorder="1" applyAlignment="1">
      <alignment horizontal="right" vertical="top"/>
    </xf>
    <xf numFmtId="10" fontId="31" fillId="0" borderId="0" xfId="0" applyNumberFormat="1" applyFont="1" applyFill="1" applyBorder="1" applyAlignment="1">
      <alignment horizontal="right" vertical="top"/>
    </xf>
    <xf numFmtId="173" fontId="15" fillId="0" borderId="0" xfId="0" applyNumberFormat="1" applyFont="1" applyFill="1" applyBorder="1" applyAlignment="1">
      <alignment horizontal="right" vertical="top"/>
    </xf>
    <xf numFmtId="0" fontId="1" fillId="0" borderId="0" xfId="0" applyFont="1" applyFill="1" applyBorder="1" applyAlignment="1">
      <alignment horizontal="right" vertical="top"/>
    </xf>
    <xf numFmtId="3" fontId="2" fillId="5" borderId="37" xfId="0" applyNumberFormat="1" applyFont="1" applyFill="1" applyBorder="1" applyAlignment="1">
      <alignment horizontal="right" vertical="top"/>
    </xf>
    <xf numFmtId="3" fontId="2" fillId="0" borderId="37" xfId="0" applyNumberFormat="1" applyFont="1" applyFill="1" applyBorder="1" applyAlignment="1">
      <alignment horizontal="right" vertical="top"/>
    </xf>
    <xf numFmtId="3" fontId="14" fillId="0" borderId="0" xfId="0" applyNumberFormat="1" applyFont="1" applyFill="1" applyBorder="1" applyAlignment="1">
      <alignment horizontal="right" vertical="top"/>
    </xf>
    <xf numFmtId="10" fontId="16" fillId="0" borderId="0" xfId="0" applyNumberFormat="1" applyFont="1" applyFill="1" applyBorder="1" applyAlignment="1">
      <alignment horizontal="left" vertical="top"/>
    </xf>
    <xf numFmtId="3" fontId="2" fillId="6" borderId="0" xfId="0" applyNumberFormat="1" applyFont="1" applyFill="1" applyBorder="1" applyAlignment="1">
      <alignment horizontal="right" vertical="top"/>
    </xf>
    <xf numFmtId="1" fontId="14" fillId="0" borderId="0" xfId="0" applyNumberFormat="1" applyFont="1" applyFill="1" applyBorder="1" applyAlignment="1">
      <alignment vertical="top" shrinkToFit="1"/>
    </xf>
    <xf numFmtId="1" fontId="14" fillId="0" borderId="0" xfId="0" applyNumberFormat="1" applyFont="1" applyFill="1" applyBorder="1" applyAlignment="1">
      <alignment horizontal="right" vertical="top" shrinkToFit="1"/>
    </xf>
    <xf numFmtId="164" fontId="31" fillId="0" borderId="0" xfId="0" applyNumberFormat="1" applyFont="1" applyFill="1" applyBorder="1" applyAlignment="1">
      <alignment horizontal="right" vertical="top"/>
    </xf>
    <xf numFmtId="0" fontId="23" fillId="0" borderId="0" xfId="0" applyFont="1" applyFill="1" applyBorder="1" applyAlignment="1">
      <alignment horizontal="left" vertical="top"/>
    </xf>
    <xf numFmtId="0" fontId="15" fillId="0" borderId="1" xfId="0" applyFont="1" applyFill="1" applyBorder="1" applyAlignment="1">
      <alignment horizontal="left" vertical="top"/>
    </xf>
    <xf numFmtId="2" fontId="15" fillId="0" borderId="0" xfId="1" applyNumberFormat="1" applyFont="1" applyFill="1" applyBorder="1" applyAlignment="1">
      <alignment horizontal="right" vertical="top"/>
    </xf>
    <xf numFmtId="0" fontId="37" fillId="4" borderId="0" xfId="0" applyFont="1" applyFill="1" applyBorder="1" applyAlignment="1">
      <alignment horizontal="left" vertical="top"/>
    </xf>
    <xf numFmtId="0" fontId="16" fillId="0" borderId="0" xfId="0" applyFont="1" applyFill="1" applyBorder="1" applyAlignment="1">
      <alignment vertical="top"/>
    </xf>
    <xf numFmtId="0" fontId="15" fillId="0" borderId="0" xfId="0" applyFont="1" applyFill="1" applyBorder="1" applyAlignment="1">
      <alignment vertical="center"/>
    </xf>
    <xf numFmtId="0" fontId="11" fillId="3" borderId="0" xfId="0" applyFont="1" applyFill="1" applyBorder="1" applyAlignment="1">
      <alignment horizontal="center" vertical="top"/>
    </xf>
    <xf numFmtId="0" fontId="12" fillId="3" borderId="0" xfId="0" applyFont="1" applyFill="1" applyBorder="1" applyAlignment="1">
      <alignment horizontal="center" vertical="top"/>
    </xf>
    <xf numFmtId="0" fontId="16" fillId="0" borderId="0" xfId="0" applyFont="1" applyFill="1" applyBorder="1" applyAlignment="1">
      <alignment horizontal="center" vertical="top"/>
    </xf>
    <xf numFmtId="0" fontId="16" fillId="4" borderId="0" xfId="0" applyFont="1" applyFill="1" applyBorder="1" applyAlignment="1">
      <alignment horizontal="center" vertical="top"/>
    </xf>
    <xf numFmtId="0" fontId="14" fillId="3" borderId="0" xfId="0" applyFont="1" applyFill="1" applyBorder="1" applyAlignment="1">
      <alignment horizontal="center" vertical="top"/>
    </xf>
    <xf numFmtId="0" fontId="22" fillId="0" borderId="4" xfId="0" applyFont="1" applyFill="1" applyBorder="1" applyAlignment="1">
      <alignment horizontal="left" vertical="top" wrapText="1"/>
    </xf>
    <xf numFmtId="0" fontId="15" fillId="0" borderId="5" xfId="0" applyFont="1" applyFill="1" applyBorder="1" applyAlignment="1">
      <alignment horizontal="left" vertical="top" wrapText="1"/>
    </xf>
    <xf numFmtId="0" fontId="15" fillId="0" borderId="9" xfId="0" applyFont="1" applyFill="1" applyBorder="1" applyAlignment="1">
      <alignment horizontal="left" vertical="top" wrapText="1"/>
    </xf>
    <xf numFmtId="0" fontId="20" fillId="0" borderId="4" xfId="0" applyFont="1" applyFill="1" applyBorder="1" applyAlignment="1">
      <alignment horizontal="left" vertical="top" wrapText="1"/>
    </xf>
    <xf numFmtId="0" fontId="20" fillId="0" borderId="5" xfId="0" applyFont="1" applyFill="1" applyBorder="1" applyAlignment="1">
      <alignment horizontal="left" vertical="top" wrapText="1"/>
    </xf>
    <xf numFmtId="0" fontId="20" fillId="0" borderId="9" xfId="0" applyFont="1" applyFill="1" applyBorder="1" applyAlignment="1">
      <alignment horizontal="left" vertical="top" wrapText="1"/>
    </xf>
    <xf numFmtId="0" fontId="20" fillId="0" borderId="10" xfId="0" applyFont="1" applyFill="1" applyBorder="1" applyAlignment="1">
      <alignment horizontal="left" vertical="top" wrapText="1"/>
    </xf>
    <xf numFmtId="0" fontId="20" fillId="0" borderId="11" xfId="0" applyFont="1" applyFill="1" applyBorder="1" applyAlignment="1">
      <alignment horizontal="left" vertical="top" wrapText="1"/>
    </xf>
    <xf numFmtId="0" fontId="20" fillId="0" borderId="13" xfId="0" applyFont="1" applyFill="1" applyBorder="1" applyAlignment="1">
      <alignment horizontal="left" vertical="top"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49.xml.rels><?xml version="1.0" encoding="UTF-8" standalone="yes"?>
<Relationships xmlns="http://schemas.openxmlformats.org/package/2006/relationships"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_rels/chart50.xml.rels><?xml version="1.0" encoding="UTF-8" standalone="yes"?>
<Relationships xmlns="http://schemas.openxmlformats.org/package/2006/relationships"><Relationship Id="rId2" Type="http://schemas.microsoft.com/office/2011/relationships/chartColorStyle" Target="colors50.xml"/><Relationship Id="rId1" Type="http://schemas.microsoft.com/office/2011/relationships/chartStyle" Target="style50.xml"/></Relationships>
</file>

<file path=xl/charts/_rels/chart51.xml.rels><?xml version="1.0" encoding="UTF-8" standalone="yes"?>
<Relationships xmlns="http://schemas.openxmlformats.org/package/2006/relationships"><Relationship Id="rId2" Type="http://schemas.microsoft.com/office/2011/relationships/chartColorStyle" Target="colors51.xml"/><Relationship Id="rId1" Type="http://schemas.microsoft.com/office/2011/relationships/chartStyle" Target="style51.xml"/></Relationships>
</file>

<file path=xl/charts/_rels/chart52.xml.rels><?xml version="1.0" encoding="UTF-8" standalone="yes"?>
<Relationships xmlns="http://schemas.openxmlformats.org/package/2006/relationships"><Relationship Id="rId2" Type="http://schemas.microsoft.com/office/2011/relationships/chartColorStyle" Target="colors52.xml"/><Relationship Id="rId1" Type="http://schemas.microsoft.com/office/2011/relationships/chartStyle" Target="style52.xml"/></Relationships>
</file>

<file path=xl/charts/_rels/chart53.xml.rels><?xml version="1.0" encoding="UTF-8" standalone="yes"?>
<Relationships xmlns="http://schemas.openxmlformats.org/package/2006/relationships"><Relationship Id="rId2" Type="http://schemas.microsoft.com/office/2011/relationships/chartColorStyle" Target="colors53.xml"/><Relationship Id="rId1" Type="http://schemas.microsoft.com/office/2011/relationships/chartStyle" Target="style53.xml"/></Relationships>
</file>

<file path=xl/charts/_rels/chart54.xml.rels><?xml version="1.0" encoding="UTF-8" standalone="yes"?>
<Relationships xmlns="http://schemas.openxmlformats.org/package/2006/relationships"><Relationship Id="rId2" Type="http://schemas.microsoft.com/office/2011/relationships/chartColorStyle" Target="colors54.xml"/><Relationship Id="rId1" Type="http://schemas.microsoft.com/office/2011/relationships/chartStyle" Target="style54.xml"/></Relationships>
</file>

<file path=xl/charts/_rels/chart55.xml.rels><?xml version="1.0" encoding="UTF-8" standalone="yes"?>
<Relationships xmlns="http://schemas.openxmlformats.org/package/2006/relationships"><Relationship Id="rId2" Type="http://schemas.microsoft.com/office/2011/relationships/chartColorStyle" Target="colors55.xml"/><Relationship Id="rId1" Type="http://schemas.microsoft.com/office/2011/relationships/chartStyle" Target="style55.xml"/></Relationships>
</file>

<file path=xl/charts/_rels/chart56.xml.rels><?xml version="1.0" encoding="UTF-8" standalone="yes"?>
<Relationships xmlns="http://schemas.openxmlformats.org/package/2006/relationships"><Relationship Id="rId2" Type="http://schemas.microsoft.com/office/2011/relationships/chartColorStyle" Target="colors56.xml"/><Relationship Id="rId1" Type="http://schemas.microsoft.com/office/2011/relationships/chartStyle" Target="style56.xml"/></Relationships>
</file>

<file path=xl/charts/_rels/chart57.xml.rels><?xml version="1.0" encoding="UTF-8" standalone="yes"?>
<Relationships xmlns="http://schemas.openxmlformats.org/package/2006/relationships"><Relationship Id="rId2" Type="http://schemas.microsoft.com/office/2011/relationships/chartColorStyle" Target="colors57.xml"/><Relationship Id="rId1" Type="http://schemas.microsoft.com/office/2011/relationships/chartStyle" Target="style57.xml"/></Relationships>
</file>

<file path=xl/charts/_rels/chart58.xml.rels><?xml version="1.0" encoding="UTF-8" standalone="yes"?>
<Relationships xmlns="http://schemas.openxmlformats.org/package/2006/relationships"><Relationship Id="rId2" Type="http://schemas.microsoft.com/office/2011/relationships/chartColorStyle" Target="colors58.xml"/><Relationship Id="rId1" Type="http://schemas.microsoft.com/office/2011/relationships/chartStyle" Target="style58.xml"/></Relationships>
</file>

<file path=xl/charts/_rels/chart59.xml.rels><?xml version="1.0" encoding="UTF-8" standalone="yes"?>
<Relationships xmlns="http://schemas.openxmlformats.org/package/2006/relationships"><Relationship Id="rId2" Type="http://schemas.microsoft.com/office/2011/relationships/chartColorStyle" Target="colors59.xml"/><Relationship Id="rId1" Type="http://schemas.microsoft.com/office/2011/relationships/chartStyle" Target="style59.xml"/></Relationships>
</file>

<file path=xl/charts/_rels/chart60.xml.rels><?xml version="1.0" encoding="UTF-8" standalone="yes"?>
<Relationships xmlns="http://schemas.openxmlformats.org/package/2006/relationships"><Relationship Id="rId2" Type="http://schemas.microsoft.com/office/2011/relationships/chartColorStyle" Target="colors60.xml"/><Relationship Id="rId1" Type="http://schemas.microsoft.com/office/2011/relationships/chartStyle" Target="style60.xml"/></Relationships>
</file>

<file path=xl/charts/_rels/chart61.xml.rels><?xml version="1.0" encoding="UTF-8" standalone="yes"?>
<Relationships xmlns="http://schemas.openxmlformats.org/package/2006/relationships"><Relationship Id="rId2" Type="http://schemas.microsoft.com/office/2011/relationships/chartColorStyle" Target="colors61.xml"/><Relationship Id="rId1" Type="http://schemas.microsoft.com/office/2011/relationships/chartStyle" Target="style61.xml"/></Relationships>
</file>

<file path=xl/charts/_rels/chart62.xml.rels><?xml version="1.0" encoding="UTF-8" standalone="yes"?>
<Relationships xmlns="http://schemas.openxmlformats.org/package/2006/relationships"><Relationship Id="rId2" Type="http://schemas.microsoft.com/office/2011/relationships/chartColorStyle" Target="colors62.xml"/><Relationship Id="rId1" Type="http://schemas.microsoft.com/office/2011/relationships/chartStyle" Target="style62.xml"/></Relationships>
</file>

<file path=xl/charts/_rels/chart63.xml.rels><?xml version="1.0" encoding="UTF-8" standalone="yes"?>
<Relationships xmlns="http://schemas.openxmlformats.org/package/2006/relationships"><Relationship Id="rId2" Type="http://schemas.microsoft.com/office/2011/relationships/chartColorStyle" Target="colors63.xml"/><Relationship Id="rId1" Type="http://schemas.microsoft.com/office/2011/relationships/chartStyle" Target="style63.xml"/></Relationships>
</file>

<file path=xl/charts/_rels/chart64.xml.rels><?xml version="1.0" encoding="UTF-8" standalone="yes"?>
<Relationships xmlns="http://schemas.openxmlformats.org/package/2006/relationships"><Relationship Id="rId2" Type="http://schemas.microsoft.com/office/2011/relationships/chartColorStyle" Target="colors64.xml"/><Relationship Id="rId1" Type="http://schemas.microsoft.com/office/2011/relationships/chartStyle" Target="style64.xml"/></Relationships>
</file>

<file path=xl/charts/_rels/chart65.xml.rels><?xml version="1.0" encoding="UTF-8" standalone="yes"?>
<Relationships xmlns="http://schemas.openxmlformats.org/package/2006/relationships"><Relationship Id="rId2" Type="http://schemas.microsoft.com/office/2011/relationships/chartColorStyle" Target="colors65.xml"/><Relationship Id="rId1" Type="http://schemas.microsoft.com/office/2011/relationships/chartStyle" Target="style65.xml"/></Relationships>
</file>

<file path=xl/charts/_rels/chart66.xml.rels><?xml version="1.0" encoding="UTF-8" standalone="yes"?>
<Relationships xmlns="http://schemas.openxmlformats.org/package/2006/relationships"><Relationship Id="rId2" Type="http://schemas.microsoft.com/office/2011/relationships/chartColorStyle" Target="colors66.xml"/><Relationship Id="rId1" Type="http://schemas.microsoft.com/office/2011/relationships/chartStyle" Target="style66.xml"/></Relationships>
</file>

<file path=xl/charts/_rels/chart67.xml.rels><?xml version="1.0" encoding="UTF-8" standalone="yes"?>
<Relationships xmlns="http://schemas.openxmlformats.org/package/2006/relationships"><Relationship Id="rId2" Type="http://schemas.microsoft.com/office/2011/relationships/chartColorStyle" Target="colors67.xml"/><Relationship Id="rId1" Type="http://schemas.microsoft.com/office/2011/relationships/chartStyle" Target="style67.xml"/></Relationships>
</file>

<file path=xl/charts/_rels/chart68.xml.rels><?xml version="1.0" encoding="UTF-8" standalone="yes"?>
<Relationships xmlns="http://schemas.openxmlformats.org/package/2006/relationships"><Relationship Id="rId2" Type="http://schemas.microsoft.com/office/2011/relationships/chartColorStyle" Target="colors68.xml"/><Relationship Id="rId1" Type="http://schemas.microsoft.com/office/2011/relationships/chartStyle" Target="style68.xml"/></Relationships>
</file>

<file path=xl/charts/_rels/chart69.xml.rels><?xml version="1.0" encoding="UTF-8" standalone="yes"?>
<Relationships xmlns="http://schemas.openxmlformats.org/package/2006/relationships"><Relationship Id="rId2" Type="http://schemas.microsoft.com/office/2011/relationships/chartColorStyle" Target="colors70.xml"/><Relationship Id="rId1" Type="http://schemas.microsoft.com/office/2011/relationships/chartStyle" Target="style70.xml"/></Relationships>
</file>

<file path=xl/charts/_rels/chart70.xml.rels><?xml version="1.0" encoding="UTF-8" standalone="yes"?>
<Relationships xmlns="http://schemas.openxmlformats.org/package/2006/relationships"><Relationship Id="rId2" Type="http://schemas.microsoft.com/office/2011/relationships/chartColorStyle" Target="colors71.xml"/><Relationship Id="rId1" Type="http://schemas.microsoft.com/office/2011/relationships/chartStyle" Target="style71.xml"/></Relationships>
</file>

<file path=xl/charts/_rels/chart71.xml.rels><?xml version="1.0" encoding="UTF-8" standalone="yes"?>
<Relationships xmlns="http://schemas.openxmlformats.org/package/2006/relationships"><Relationship Id="rId2" Type="http://schemas.microsoft.com/office/2011/relationships/chartColorStyle" Target="colors72.xml"/><Relationship Id="rId1" Type="http://schemas.microsoft.com/office/2011/relationships/chartStyle" Target="style72.xml"/></Relationships>
</file>

<file path=xl/charts/_rels/chart72.xml.rels><?xml version="1.0" encoding="UTF-8" standalone="yes"?>
<Relationships xmlns="http://schemas.openxmlformats.org/package/2006/relationships"><Relationship Id="rId2" Type="http://schemas.microsoft.com/office/2011/relationships/chartColorStyle" Target="colors73.xml"/><Relationship Id="rId1" Type="http://schemas.microsoft.com/office/2011/relationships/chartStyle" Target="style73.xml"/></Relationships>
</file>

<file path=xl/charts/_rels/chart73.xml.rels><?xml version="1.0" encoding="UTF-8" standalone="yes"?>
<Relationships xmlns="http://schemas.openxmlformats.org/package/2006/relationships"><Relationship Id="rId2" Type="http://schemas.microsoft.com/office/2011/relationships/chartColorStyle" Target="colors74.xml"/><Relationship Id="rId1" Type="http://schemas.microsoft.com/office/2011/relationships/chartStyle" Target="style74.xml"/></Relationships>
</file>

<file path=xl/charts/_rels/chart74.xml.rels><?xml version="1.0" encoding="UTF-8" standalone="yes"?>
<Relationships xmlns="http://schemas.openxmlformats.org/package/2006/relationships"><Relationship Id="rId2" Type="http://schemas.microsoft.com/office/2011/relationships/chartColorStyle" Target="colors75.xml"/><Relationship Id="rId1" Type="http://schemas.microsoft.com/office/2011/relationships/chartStyle" Target="style75.xml"/></Relationships>
</file>

<file path=xl/charts/_rels/chart75.xml.rels><?xml version="1.0" encoding="UTF-8" standalone="yes"?>
<Relationships xmlns="http://schemas.openxmlformats.org/package/2006/relationships"><Relationship Id="rId2" Type="http://schemas.microsoft.com/office/2011/relationships/chartColorStyle" Target="colors76.xml"/><Relationship Id="rId1" Type="http://schemas.microsoft.com/office/2011/relationships/chartStyle" Target="style76.xml"/></Relationships>
</file>

<file path=xl/charts/_rels/chart76.xml.rels><?xml version="1.0" encoding="UTF-8" standalone="yes"?>
<Relationships xmlns="http://schemas.openxmlformats.org/package/2006/relationships"><Relationship Id="rId2" Type="http://schemas.microsoft.com/office/2011/relationships/chartColorStyle" Target="colors77.xml"/><Relationship Id="rId1" Type="http://schemas.microsoft.com/office/2011/relationships/chartStyle" Target="style77.xml"/></Relationships>
</file>

<file path=xl/charts/_rels/chart77.xml.rels><?xml version="1.0" encoding="UTF-8" standalone="yes"?>
<Relationships xmlns="http://schemas.openxmlformats.org/package/2006/relationships"><Relationship Id="rId2" Type="http://schemas.microsoft.com/office/2011/relationships/chartColorStyle" Target="colors78.xml"/><Relationship Id="rId1" Type="http://schemas.microsoft.com/office/2011/relationships/chartStyle" Target="style78.xml"/></Relationships>
</file>

<file path=xl/charts/_rels/chart78.xml.rels><?xml version="1.0" encoding="UTF-8" standalone="yes"?>
<Relationships xmlns="http://schemas.openxmlformats.org/package/2006/relationships"><Relationship Id="rId2" Type="http://schemas.microsoft.com/office/2011/relationships/chartColorStyle" Target="colors79.xml"/><Relationship Id="rId1" Type="http://schemas.microsoft.com/office/2011/relationships/chartStyle" Target="style79.xml"/></Relationships>
</file>

<file path=xl/charts/_rels/chart79.xml.rels><?xml version="1.0" encoding="UTF-8" standalone="yes"?>
<Relationships xmlns="http://schemas.openxmlformats.org/package/2006/relationships"><Relationship Id="rId2" Type="http://schemas.microsoft.com/office/2011/relationships/chartColorStyle" Target="colors80.xml"/><Relationship Id="rId1" Type="http://schemas.microsoft.com/office/2011/relationships/chartStyle" Target="style80.xml"/></Relationships>
</file>

<file path=xl/charts/_rels/chart80.xml.rels><?xml version="1.0" encoding="UTF-8" standalone="yes"?>
<Relationships xmlns="http://schemas.openxmlformats.org/package/2006/relationships"><Relationship Id="rId2" Type="http://schemas.microsoft.com/office/2011/relationships/chartColorStyle" Target="colors81.xml"/><Relationship Id="rId1" Type="http://schemas.microsoft.com/office/2011/relationships/chartStyle" Target="style81.xml"/></Relationships>
</file>

<file path=xl/charts/_rels/chart81.xml.rels><?xml version="1.0" encoding="UTF-8" standalone="yes"?>
<Relationships xmlns="http://schemas.openxmlformats.org/package/2006/relationships"><Relationship Id="rId2" Type="http://schemas.microsoft.com/office/2011/relationships/chartColorStyle" Target="colors82.xml"/><Relationship Id="rId1" Type="http://schemas.microsoft.com/office/2011/relationships/chartStyle" Target="style82.xml"/></Relationships>
</file>

<file path=xl/charts/_rels/chart82.xml.rels><?xml version="1.0" encoding="UTF-8" standalone="yes"?>
<Relationships xmlns="http://schemas.openxmlformats.org/package/2006/relationships"><Relationship Id="rId2" Type="http://schemas.microsoft.com/office/2011/relationships/chartColorStyle" Target="colors83.xml"/><Relationship Id="rId1" Type="http://schemas.microsoft.com/office/2011/relationships/chartStyle" Target="style83.xml"/></Relationships>
</file>

<file path=xl/charts/_rels/chart83.xml.rels><?xml version="1.0" encoding="UTF-8" standalone="yes"?>
<Relationships xmlns="http://schemas.openxmlformats.org/package/2006/relationships"><Relationship Id="rId2" Type="http://schemas.microsoft.com/office/2011/relationships/chartColorStyle" Target="colors84.xml"/><Relationship Id="rId1" Type="http://schemas.microsoft.com/office/2011/relationships/chartStyle" Target="style84.xml"/></Relationships>
</file>

<file path=xl/charts/_rels/chart84.xml.rels><?xml version="1.0" encoding="UTF-8" standalone="yes"?>
<Relationships xmlns="http://schemas.openxmlformats.org/package/2006/relationships"><Relationship Id="rId2" Type="http://schemas.microsoft.com/office/2011/relationships/chartColorStyle" Target="colors85.xml"/><Relationship Id="rId1" Type="http://schemas.microsoft.com/office/2011/relationships/chartStyle" Target="style85.xml"/></Relationships>
</file>

<file path=xl/charts/_rels/chart85.xml.rels><?xml version="1.0" encoding="UTF-8" standalone="yes"?>
<Relationships xmlns="http://schemas.openxmlformats.org/package/2006/relationships"><Relationship Id="rId2" Type="http://schemas.microsoft.com/office/2011/relationships/chartColorStyle" Target="colors86.xml"/><Relationship Id="rId1" Type="http://schemas.microsoft.com/office/2011/relationships/chartStyle" Target="style86.xml"/></Relationships>
</file>

<file path=xl/charts/_rels/chart86.xml.rels><?xml version="1.0" encoding="UTF-8" standalone="yes"?>
<Relationships xmlns="http://schemas.openxmlformats.org/package/2006/relationships"><Relationship Id="rId2" Type="http://schemas.microsoft.com/office/2011/relationships/chartColorStyle" Target="colors87.xml"/><Relationship Id="rId1" Type="http://schemas.microsoft.com/office/2011/relationships/chartStyle" Target="style87.xml"/></Relationships>
</file>

<file path=xl/charts/_rels/chart87.xml.rels><?xml version="1.0" encoding="UTF-8" standalone="yes"?>
<Relationships xmlns="http://schemas.openxmlformats.org/package/2006/relationships"><Relationship Id="rId2" Type="http://schemas.microsoft.com/office/2011/relationships/chartColorStyle" Target="colors88.xml"/><Relationship Id="rId1" Type="http://schemas.microsoft.com/office/2011/relationships/chartStyle" Target="style88.xml"/></Relationships>
</file>

<file path=xl/charts/_rels/chart88.xml.rels><?xml version="1.0" encoding="UTF-8" standalone="yes"?>
<Relationships xmlns="http://schemas.openxmlformats.org/package/2006/relationships"><Relationship Id="rId2" Type="http://schemas.microsoft.com/office/2011/relationships/chartColorStyle" Target="colors89.xml"/><Relationship Id="rId1" Type="http://schemas.microsoft.com/office/2011/relationships/chartStyle" Target="style89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69.xml"/><Relationship Id="rId1" Type="http://schemas.microsoft.com/office/2011/relationships/chartStyle" Target="style6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Total revenue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908327037995307E-2"/>
          <c:y val="0.16852286209479445"/>
          <c:w val="0.88098565376282867"/>
          <c:h val="0.73268416611536658"/>
        </c:manualLayout>
      </c:layout>
      <c:lineChart>
        <c:grouping val="standard"/>
        <c:varyColors val="0"/>
        <c:ser>
          <c:idx val="0"/>
          <c:order val="0"/>
          <c:tx>
            <c:strRef>
              <c:f>'Trend Analysis'!$C$7</c:f>
              <c:strCache>
                <c:ptCount val="1"/>
                <c:pt idx="0">
                  <c:v>Total Revenue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diamond"/>
            <c:size val="3"/>
            <c:spPr>
              <a:solidFill>
                <a:schemeClr val="accent1"/>
              </a:solidFill>
              <a:ln w="9525">
                <a:solidFill>
                  <a:schemeClr val="accent1">
                    <a:lumMod val="75000"/>
                  </a:schemeClr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rgbClr val="C00000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numRef>
              <c:f>'Trend Analysis'!$D$3:$M$3</c:f>
              <c:numCache>
                <c:formatCode>0</c:formatCode>
                <c:ptCount val="10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</c:numCache>
            </c:numRef>
          </c:cat>
          <c:val>
            <c:numRef>
              <c:f>'Trend Analysis'!$D$7:$M$7</c:f>
              <c:numCache>
                <c:formatCode>#,##0;\(#,##0\)</c:formatCode>
                <c:ptCount val="10"/>
                <c:pt idx="0">
                  <c:v>92793</c:v>
                </c:pt>
                <c:pt idx="1">
                  <c:v>81742</c:v>
                </c:pt>
                <c:pt idx="2">
                  <c:v>79920</c:v>
                </c:pt>
                <c:pt idx="3">
                  <c:v>79139</c:v>
                </c:pt>
                <c:pt idx="4">
                  <c:v>79591</c:v>
                </c:pt>
                <c:pt idx="5">
                  <c:v>57714</c:v>
                </c:pt>
                <c:pt idx="6">
                  <c:v>55179</c:v>
                </c:pt>
                <c:pt idx="7">
                  <c:v>57351</c:v>
                </c:pt>
                <c:pt idx="8">
                  <c:v>60530</c:v>
                </c:pt>
                <c:pt idx="9">
                  <c:v>61860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5B-4E46-92BE-B953DB8C391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19974120"/>
        <c:axId val="319978384"/>
        <c:extLst/>
      </c:lineChart>
      <c:catAx>
        <c:axId val="319974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9978384"/>
        <c:crosses val="autoZero"/>
        <c:auto val="1"/>
        <c:lblAlgn val="ctr"/>
        <c:lblOffset val="100"/>
        <c:noMultiLvlLbl val="0"/>
      </c:catAx>
      <c:valAx>
        <c:axId val="31997838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800"/>
                  <a:t>($ in millions)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;\(#,##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9974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9376391789576551E-2"/>
          <c:y val="0.17756637464540972"/>
          <c:w val="0.8807311030108057"/>
          <c:h val="0.72375995328436538"/>
        </c:manualLayout>
      </c:layout>
      <c:lineChart>
        <c:grouping val="standard"/>
        <c:varyColors val="0"/>
        <c:ser>
          <c:idx val="0"/>
          <c:order val="0"/>
          <c:tx>
            <c:strRef>
              <c:f>'Trend Analysis'!$C$25</c:f>
              <c:strCache>
                <c:ptCount val="1"/>
                <c:pt idx="0">
                  <c:v>Net income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diamond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rgbClr val="C00000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numRef>
              <c:f>'Trend Analysis'!$D$3:$M$3</c:f>
              <c:numCache>
                <c:formatCode>0</c:formatCode>
                <c:ptCount val="10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</c:numCache>
            </c:numRef>
          </c:cat>
          <c:val>
            <c:numRef>
              <c:f>'Trend Analysis'!$D$25:$M$25</c:f>
              <c:numCache>
                <c:formatCode>#,##0;\(#,##0\)</c:formatCode>
                <c:ptCount val="10"/>
                <c:pt idx="0">
                  <c:v>12023</c:v>
                </c:pt>
                <c:pt idx="1">
                  <c:v>13191</c:v>
                </c:pt>
                <c:pt idx="2">
                  <c:v>11873</c:v>
                </c:pt>
                <c:pt idx="3">
                  <c:v>5752</c:v>
                </c:pt>
                <c:pt idx="4">
                  <c:v>8729</c:v>
                </c:pt>
                <c:pt idx="5">
                  <c:v>9432</c:v>
                </c:pt>
                <c:pt idx="6">
                  <c:v>5590</c:v>
                </c:pt>
                <c:pt idx="7">
                  <c:v>5743</c:v>
                </c:pt>
                <c:pt idx="8">
                  <c:v>1639</c:v>
                </c:pt>
                <c:pt idx="9">
                  <c:v>7501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47-4094-9227-9531A725D9F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90300328"/>
        <c:axId val="390302952"/>
        <c:extLst/>
      </c:lineChart>
      <c:catAx>
        <c:axId val="390300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0302952"/>
        <c:crosses val="autoZero"/>
        <c:auto val="1"/>
        <c:lblAlgn val="ctr"/>
        <c:lblOffset val="100"/>
        <c:noMultiLvlLbl val="0"/>
      </c:catAx>
      <c:valAx>
        <c:axId val="39030295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800"/>
                  <a:t>($ in millions)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;\(#,##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0300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8923104908916093E-2"/>
          <c:y val="0.15942295490608366"/>
          <c:w val="0.88059683133667699"/>
          <c:h val="0.74168588557099024"/>
        </c:manualLayout>
      </c:layout>
      <c:lineChart>
        <c:grouping val="standard"/>
        <c:varyColors val="0"/>
        <c:ser>
          <c:idx val="0"/>
          <c:order val="0"/>
          <c:tx>
            <c:strRef>
              <c:f>'Trend Analysis'!$C$26</c:f>
              <c:strCache>
                <c:ptCount val="1"/>
                <c:pt idx="0">
                  <c:v>YoY % change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diamond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rgbClr val="C00000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numRef>
              <c:f>'Trend Analysis'!$E$3:$M$3</c:f>
              <c:numCache>
                <c:formatCode>0</c:formatCode>
                <c:ptCount val="9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</c:numCache>
            </c:numRef>
          </c:cat>
          <c:val>
            <c:numRef>
              <c:f>'Trend Analysis'!$E$26:$M$26</c:f>
              <c:numCache>
                <c:formatCode>0.00%</c:formatCode>
                <c:ptCount val="9"/>
                <c:pt idx="0">
                  <c:v>9.7147134658571055E-2</c:v>
                </c:pt>
                <c:pt idx="1">
                  <c:v>-9.9916609809718726E-2</c:v>
                </c:pt>
                <c:pt idx="2">
                  <c:v>-0.5155394592773519</c:v>
                </c:pt>
                <c:pt idx="3">
                  <c:v>0.51755910987482623</c:v>
                </c:pt>
                <c:pt idx="4">
                  <c:v>8.053614388818886E-2</c:v>
                </c:pt>
                <c:pt idx="5">
                  <c:v>-0.40733672603901616</c:v>
                </c:pt>
                <c:pt idx="6">
                  <c:v>2.7370304114490152E-2</c:v>
                </c:pt>
                <c:pt idx="7">
                  <c:v>-0.71460908932613609</c:v>
                </c:pt>
                <c:pt idx="8">
                  <c:v>3.5765710799267847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A6-4472-849F-7B2133CCDF0D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87393112"/>
        <c:axId val="387392784"/>
        <c:extLst/>
      </c:lineChart>
      <c:catAx>
        <c:axId val="387393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out"/>
        <c:minorTickMark val="none"/>
        <c:tickLblPos val="low"/>
        <c:spPr>
          <a:noFill/>
          <a:ln w="1587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392784"/>
        <c:crosses val="autoZero"/>
        <c:auto val="1"/>
        <c:lblAlgn val="ctr"/>
        <c:lblOffset val="100"/>
        <c:noMultiLvlLbl val="0"/>
      </c:catAx>
      <c:valAx>
        <c:axId val="387392784"/>
        <c:scaling>
          <c:orientation val="minMax"/>
        </c:scaling>
        <c:delete val="0"/>
        <c:axPos val="l"/>
        <c:numFmt formatCode="0.00%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393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7822890905411686E-2"/>
          <c:y val="0.1373350398606753"/>
          <c:w val="0.8821550746429685"/>
          <c:h val="0.76333005539958265"/>
        </c:manualLayout>
      </c:layout>
      <c:lineChart>
        <c:grouping val="standard"/>
        <c:varyColors val="0"/>
        <c:ser>
          <c:idx val="0"/>
          <c:order val="0"/>
          <c:tx>
            <c:strRef>
              <c:f>'Trend Analysis'!$C$257</c:f>
              <c:strCache>
                <c:ptCount val="1"/>
                <c:pt idx="0">
                  <c:v>Total current assets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rgbClr val="C00000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numRef>
              <c:f>'Trend Analysis'!$D$3:$M$3</c:f>
              <c:numCache>
                <c:formatCode>0</c:formatCode>
                <c:ptCount val="10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</c:numCache>
            </c:numRef>
          </c:cat>
          <c:val>
            <c:numRef>
              <c:f>'Trend Analysis'!$D$257:$M$257</c:f>
              <c:numCache>
                <c:formatCode>#,##0;\(#,##0\)</c:formatCode>
                <c:ptCount val="10"/>
                <c:pt idx="0">
                  <c:v>47377</c:v>
                </c:pt>
                <c:pt idx="1">
                  <c:v>42504</c:v>
                </c:pt>
                <c:pt idx="2">
                  <c:v>43889</c:v>
                </c:pt>
                <c:pt idx="3">
                  <c:v>49735</c:v>
                </c:pt>
                <c:pt idx="4">
                  <c:v>49145</c:v>
                </c:pt>
                <c:pt idx="5">
                  <c:v>38420</c:v>
                </c:pt>
                <c:pt idx="6">
                  <c:v>39165</c:v>
                </c:pt>
                <c:pt idx="7">
                  <c:v>29539</c:v>
                </c:pt>
                <c:pt idx="8">
                  <c:v>29118</c:v>
                </c:pt>
                <c:pt idx="9">
                  <c:v>32909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A1-4A35-8DAA-BE9E8FDF902D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84133520"/>
        <c:axId val="384138112"/>
        <c:extLst/>
      </c:lineChart>
      <c:catAx>
        <c:axId val="384133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138112"/>
        <c:crosses val="autoZero"/>
        <c:auto val="1"/>
        <c:lblAlgn val="ctr"/>
        <c:lblOffset val="100"/>
        <c:noMultiLvlLbl val="0"/>
      </c:catAx>
      <c:valAx>
        <c:axId val="38413811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800"/>
                  <a:t>($ in millions)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;\(#,##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133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8133981330526717E-2"/>
          <c:y val="0.12780160328614357"/>
          <c:w val="0.89516564514242869"/>
          <c:h val="0.77286341740614151"/>
        </c:manualLayout>
      </c:layout>
      <c:lineChart>
        <c:grouping val="standard"/>
        <c:varyColors val="0"/>
        <c:ser>
          <c:idx val="0"/>
          <c:order val="0"/>
          <c:tx>
            <c:strRef>
              <c:f>'Trend Analysis'!$C$258</c:f>
              <c:strCache>
                <c:ptCount val="1"/>
                <c:pt idx="0">
                  <c:v>YoY % change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rgbClr val="C00000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numRef>
              <c:f>'Trend Analysis'!$E$3:$M$3</c:f>
              <c:numCache>
                <c:formatCode>0</c:formatCode>
                <c:ptCount val="9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</c:numCache>
            </c:numRef>
          </c:cat>
          <c:val>
            <c:numRef>
              <c:f>'Trend Analysis'!$E$258:$M$258</c:f>
              <c:numCache>
                <c:formatCode>0.00%</c:formatCode>
                <c:ptCount val="9"/>
                <c:pt idx="0">
                  <c:v>-0.10285581611330392</c:v>
                </c:pt>
                <c:pt idx="1">
                  <c:v>3.2585168454733672E-2</c:v>
                </c:pt>
                <c:pt idx="2">
                  <c:v>0.13319966278566384</c:v>
                </c:pt>
                <c:pt idx="3">
                  <c:v>-1.1862873228108977E-2</c:v>
                </c:pt>
                <c:pt idx="4">
                  <c:v>-0.21823176314986265</c:v>
                </c:pt>
                <c:pt idx="5">
                  <c:v>1.9390942217595002E-2</c:v>
                </c:pt>
                <c:pt idx="6">
                  <c:v>-0.24578067151793692</c:v>
                </c:pt>
                <c:pt idx="7">
                  <c:v>-1.4252344358305968E-2</c:v>
                </c:pt>
                <c:pt idx="8">
                  <c:v>0.13019438148224466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60-4D87-8BC4-94AD98420A33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21174912"/>
        <c:axId val="321169664"/>
        <c:extLst/>
      </c:lineChart>
      <c:catAx>
        <c:axId val="321174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1169664"/>
        <c:crosses val="autoZero"/>
        <c:auto val="1"/>
        <c:lblAlgn val="ctr"/>
        <c:lblOffset val="100"/>
        <c:noMultiLvlLbl val="0"/>
      </c:catAx>
      <c:valAx>
        <c:axId val="321169664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1174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606119993326343"/>
          <c:y val="0.12767458855440142"/>
          <c:w val="0.87378428617363235"/>
          <c:h val="0.77308915376421217"/>
        </c:manualLayout>
      </c:layout>
      <c:lineChart>
        <c:grouping val="standard"/>
        <c:varyColors val="0"/>
        <c:ser>
          <c:idx val="0"/>
          <c:order val="0"/>
          <c:tx>
            <c:strRef>
              <c:f>'Trend Analysis'!$C$260</c:f>
              <c:strCache>
                <c:ptCount val="1"/>
                <c:pt idx="0">
                  <c:v>Total non-current assets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rgbClr val="C00000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numRef>
              <c:f>'Trend Analysis'!$D$3:$M$3</c:f>
              <c:numCache>
                <c:formatCode>0</c:formatCode>
                <c:ptCount val="10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</c:numCache>
            </c:numRef>
          </c:cat>
          <c:val>
            <c:numRef>
              <c:f>'Trend Analysis'!$D$260:$M$260</c:f>
              <c:numCache>
                <c:formatCode>#,##0;\(#,##0\)</c:formatCode>
                <c:ptCount val="10"/>
                <c:pt idx="0">
                  <c:v>69895</c:v>
                </c:pt>
                <c:pt idx="1">
                  <c:v>67991</c:v>
                </c:pt>
                <c:pt idx="2">
                  <c:v>73581</c:v>
                </c:pt>
                <c:pt idx="3">
                  <c:v>75620</c:v>
                </c:pt>
                <c:pt idx="4">
                  <c:v>74236</c:v>
                </c:pt>
                <c:pt idx="5">
                  <c:v>113767</c:v>
                </c:pt>
                <c:pt idx="6">
                  <c:v>116806</c:v>
                </c:pt>
                <c:pt idx="7">
                  <c:v>102462</c:v>
                </c:pt>
                <c:pt idx="8">
                  <c:v>98125</c:v>
                </c:pt>
                <c:pt idx="9">
                  <c:v>102331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8B-42D7-8293-21782A8830F4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84145328"/>
        <c:axId val="384143688"/>
        <c:extLst/>
      </c:lineChart>
      <c:catAx>
        <c:axId val="384145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143688"/>
        <c:crosses val="autoZero"/>
        <c:auto val="1"/>
        <c:lblAlgn val="ctr"/>
        <c:lblOffset val="100"/>
        <c:noMultiLvlLbl val="0"/>
      </c:catAx>
      <c:valAx>
        <c:axId val="38414368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800"/>
                  <a:t>($ in millions)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;\(#,##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145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4241208910251678E-2"/>
          <c:y val="0.14176475445523742"/>
          <c:w val="0.89815186550866533"/>
          <c:h val="0.75889996546909488"/>
        </c:manualLayout>
      </c:layout>
      <c:lineChart>
        <c:grouping val="standard"/>
        <c:varyColors val="0"/>
        <c:ser>
          <c:idx val="0"/>
          <c:order val="0"/>
          <c:tx>
            <c:strRef>
              <c:f>'Trend Analysis'!$C$261</c:f>
              <c:strCache>
                <c:ptCount val="1"/>
                <c:pt idx="0">
                  <c:v>YoY % change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rgbClr val="C00000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numRef>
              <c:f>'Trend Analysis'!$E$3:$M$3</c:f>
              <c:numCache>
                <c:formatCode>0</c:formatCode>
                <c:ptCount val="9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</c:numCache>
            </c:numRef>
          </c:cat>
          <c:val>
            <c:numRef>
              <c:f>'Trend Analysis'!$E$261:$M$261</c:f>
              <c:numCache>
                <c:formatCode>0.00%</c:formatCode>
                <c:ptCount val="9"/>
                <c:pt idx="0">
                  <c:v>-2.7240861291937906E-2</c:v>
                </c:pt>
                <c:pt idx="1">
                  <c:v>8.2216763983468402E-2</c:v>
                </c:pt>
                <c:pt idx="2">
                  <c:v>2.7710957991872901E-2</c:v>
                </c:pt>
                <c:pt idx="3">
                  <c:v>-1.8302036498280879E-2</c:v>
                </c:pt>
                <c:pt idx="4">
                  <c:v>0.5325044452826122</c:v>
                </c:pt>
                <c:pt idx="5">
                  <c:v>2.6712491319978552E-2</c:v>
                </c:pt>
                <c:pt idx="6">
                  <c:v>-0.12280191086074345</c:v>
                </c:pt>
                <c:pt idx="7">
                  <c:v>-4.2327887411918563E-2</c:v>
                </c:pt>
                <c:pt idx="8">
                  <c:v>4.2863694267515927E-2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BE-42FC-9753-7EA5FC2A0E2D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86043224"/>
        <c:axId val="386036336"/>
        <c:extLst/>
      </c:lineChart>
      <c:catAx>
        <c:axId val="386043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036336"/>
        <c:crosses val="autoZero"/>
        <c:auto val="1"/>
        <c:lblAlgn val="ctr"/>
        <c:lblOffset val="100"/>
        <c:noMultiLvlLbl val="0"/>
      </c:catAx>
      <c:valAx>
        <c:axId val="386036336"/>
        <c:scaling>
          <c:orientation val="minMax"/>
        </c:scaling>
        <c:delete val="0"/>
        <c:axPos val="l"/>
        <c:numFmt formatCode="0.00%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043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901332003367518"/>
          <c:y val="0.13200514807061428"/>
          <c:w val="0.87083262713630394"/>
          <c:h val="0.76899884538695251"/>
        </c:manualLayout>
      </c:layout>
      <c:lineChart>
        <c:grouping val="standard"/>
        <c:varyColors val="0"/>
        <c:ser>
          <c:idx val="0"/>
          <c:order val="0"/>
          <c:tx>
            <c:strRef>
              <c:f>'Trend Analysis'!$C$263</c:f>
              <c:strCache>
                <c:ptCount val="1"/>
                <c:pt idx="0">
                  <c:v>Total assets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rgbClr val="C00000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numRef>
              <c:f>'Trend Analysis'!$D$3:$M$3</c:f>
              <c:numCache>
                <c:formatCode>0</c:formatCode>
                <c:ptCount val="10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</c:numCache>
            </c:numRef>
          </c:cat>
          <c:val>
            <c:numRef>
              <c:f>'Trend Analysis'!$D$263:$M$263</c:f>
              <c:numCache>
                <c:formatCode>#,##0;\(#,##0\)</c:formatCode>
                <c:ptCount val="10"/>
                <c:pt idx="0">
                  <c:v>117272</c:v>
                </c:pt>
                <c:pt idx="1">
                  <c:v>110495</c:v>
                </c:pt>
                <c:pt idx="2">
                  <c:v>117470</c:v>
                </c:pt>
                <c:pt idx="3">
                  <c:v>125355</c:v>
                </c:pt>
                <c:pt idx="4">
                  <c:v>123381</c:v>
                </c:pt>
                <c:pt idx="5">
                  <c:v>152187</c:v>
                </c:pt>
                <c:pt idx="6">
                  <c:v>155971</c:v>
                </c:pt>
                <c:pt idx="7">
                  <c:v>132001</c:v>
                </c:pt>
                <c:pt idx="8">
                  <c:v>127243</c:v>
                </c:pt>
                <c:pt idx="9">
                  <c:v>135240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D4-45F7-88DB-4038A186FFB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83779024"/>
        <c:axId val="383778696"/>
        <c:extLst/>
      </c:lineChart>
      <c:catAx>
        <c:axId val="383779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778696"/>
        <c:crosses val="autoZero"/>
        <c:auto val="1"/>
        <c:lblAlgn val="ctr"/>
        <c:lblOffset val="100"/>
        <c:noMultiLvlLbl val="0"/>
      </c:catAx>
      <c:valAx>
        <c:axId val="3837786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800"/>
                  <a:t>($ in millions)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;\(#,##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779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9853032485552098E-2"/>
          <c:y val="0.13675525681818268"/>
          <c:w val="0.89222699531312621"/>
          <c:h val="0.76424873663938409"/>
        </c:manualLayout>
      </c:layout>
      <c:lineChart>
        <c:grouping val="standard"/>
        <c:varyColors val="0"/>
        <c:ser>
          <c:idx val="0"/>
          <c:order val="0"/>
          <c:tx>
            <c:strRef>
              <c:f>'Trend Analysis'!$C$264</c:f>
              <c:strCache>
                <c:ptCount val="1"/>
                <c:pt idx="0">
                  <c:v>YoY % change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rgbClr val="C00000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numRef>
              <c:f>'Trend Analysis'!$E$3:$M$3</c:f>
              <c:numCache>
                <c:formatCode>0</c:formatCode>
                <c:ptCount val="9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</c:numCache>
            </c:numRef>
          </c:cat>
          <c:val>
            <c:numRef>
              <c:f>'Trend Analysis'!$E$264:$M$264</c:f>
              <c:numCache>
                <c:formatCode>0.00%</c:formatCode>
                <c:ptCount val="9"/>
                <c:pt idx="0">
                  <c:v>-5.7788730472747116E-2</c:v>
                </c:pt>
                <c:pt idx="1">
                  <c:v>6.3125028281822704E-2</c:v>
                </c:pt>
                <c:pt idx="2">
                  <c:v>6.7123520898952918E-2</c:v>
                </c:pt>
                <c:pt idx="3">
                  <c:v>-1.5747277731243268E-2</c:v>
                </c:pt>
                <c:pt idx="4">
                  <c:v>0.2334719284168551</c:v>
                </c:pt>
                <c:pt idx="5">
                  <c:v>2.4864147397609521E-2</c:v>
                </c:pt>
                <c:pt idx="6">
                  <c:v>-0.15368241532079682</c:v>
                </c:pt>
                <c:pt idx="7">
                  <c:v>-3.6045181475897907E-2</c:v>
                </c:pt>
                <c:pt idx="8">
                  <c:v>6.2848250984337051E-2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EC-413B-AD92-CD6E4787E926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08576928"/>
        <c:axId val="408571352"/>
        <c:extLst/>
      </c:lineChart>
      <c:catAx>
        <c:axId val="408576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8571352"/>
        <c:crosses val="autoZero"/>
        <c:auto val="1"/>
        <c:lblAlgn val="ctr"/>
        <c:lblOffset val="100"/>
        <c:noMultiLvlLbl val="0"/>
      </c:catAx>
      <c:valAx>
        <c:axId val="408571352"/>
        <c:scaling>
          <c:orientation val="minMax"/>
        </c:scaling>
        <c:delete val="0"/>
        <c:axPos val="l"/>
        <c:numFmt formatCode="0.00%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8576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6034993100562002E-2"/>
          <c:y val="0.1467562920004222"/>
          <c:w val="0.8838441828075364"/>
          <c:h val="0.75390867803487871"/>
        </c:manualLayout>
      </c:layout>
      <c:lineChart>
        <c:grouping val="standard"/>
        <c:varyColors val="0"/>
        <c:ser>
          <c:idx val="0"/>
          <c:order val="0"/>
          <c:tx>
            <c:strRef>
              <c:f>'Trend Analysis'!$C$266</c:f>
              <c:strCache>
                <c:ptCount val="1"/>
                <c:pt idx="0">
                  <c:v>Total current liabilities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rgbClr val="C00000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numRef>
              <c:f>'Trend Analysis'!$D$3:$M$3</c:f>
              <c:numCache>
                <c:formatCode>0</c:formatCode>
                <c:ptCount val="10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</c:numCache>
            </c:numRef>
          </c:cat>
          <c:val>
            <c:numRef>
              <c:f>'Trend Analysis'!$D$266:$M$266</c:f>
              <c:numCache>
                <c:formatCode>#,##0;\(#,##0\)</c:formatCode>
                <c:ptCount val="10"/>
                <c:pt idx="0">
                  <c:v>39581</c:v>
                </c:pt>
                <c:pt idx="1">
                  <c:v>34270</c:v>
                </c:pt>
                <c:pt idx="2">
                  <c:v>36275</c:v>
                </c:pt>
                <c:pt idx="3">
                  <c:v>37363</c:v>
                </c:pt>
                <c:pt idx="4">
                  <c:v>38227</c:v>
                </c:pt>
                <c:pt idx="5">
                  <c:v>37702</c:v>
                </c:pt>
                <c:pt idx="6">
                  <c:v>39869</c:v>
                </c:pt>
                <c:pt idx="7">
                  <c:v>33619</c:v>
                </c:pt>
                <c:pt idx="8">
                  <c:v>31505</c:v>
                </c:pt>
                <c:pt idx="9">
                  <c:v>34121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58-47CE-9E08-BEE74881CF2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92302872"/>
        <c:axId val="392296968"/>
        <c:extLst/>
      </c:lineChart>
      <c:catAx>
        <c:axId val="392302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296968"/>
        <c:crosses val="autoZero"/>
        <c:auto val="1"/>
        <c:lblAlgn val="ctr"/>
        <c:lblOffset val="100"/>
        <c:noMultiLvlLbl val="0"/>
      </c:catAx>
      <c:valAx>
        <c:axId val="39229696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800"/>
                  <a:t>($ in millions)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;\(#,##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02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5982393481391972E-2"/>
          <c:y val="0.15141078905086375"/>
          <c:w val="0.89607563841689963"/>
          <c:h val="0.74925418098443708"/>
        </c:manualLayout>
      </c:layout>
      <c:lineChart>
        <c:grouping val="standard"/>
        <c:varyColors val="0"/>
        <c:ser>
          <c:idx val="0"/>
          <c:order val="0"/>
          <c:tx>
            <c:strRef>
              <c:f>'Trend Analysis'!$C$267</c:f>
              <c:strCache>
                <c:ptCount val="1"/>
                <c:pt idx="0">
                  <c:v>YoY % change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rgbClr val="C00000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numRef>
              <c:f>'Trend Analysis'!$E$3:$M$3</c:f>
              <c:numCache>
                <c:formatCode>0</c:formatCode>
                <c:ptCount val="9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</c:numCache>
            </c:numRef>
          </c:cat>
          <c:val>
            <c:numRef>
              <c:f>'Trend Analysis'!$E$267:$M$267</c:f>
              <c:numCache>
                <c:formatCode>0.00%</c:formatCode>
                <c:ptCount val="9"/>
                <c:pt idx="0">
                  <c:v>-0.13418054116874259</c:v>
                </c:pt>
                <c:pt idx="1">
                  <c:v>5.8505981908374673E-2</c:v>
                </c:pt>
                <c:pt idx="2">
                  <c:v>2.9993108201240525E-2</c:v>
                </c:pt>
                <c:pt idx="3">
                  <c:v>2.3124481438856623E-2</c:v>
                </c:pt>
                <c:pt idx="4">
                  <c:v>-1.3733748397729353E-2</c:v>
                </c:pt>
                <c:pt idx="5">
                  <c:v>5.7477056920057293E-2</c:v>
                </c:pt>
                <c:pt idx="6">
                  <c:v>-0.15676340013544357</c:v>
                </c:pt>
                <c:pt idx="7">
                  <c:v>-6.2881108896754814E-2</c:v>
                </c:pt>
                <c:pt idx="8">
                  <c:v>8.3034438977940009E-2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FB-48DD-8183-CAA7C15D8BAD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21954176"/>
        <c:axId val="421948928"/>
        <c:extLst/>
      </c:lineChart>
      <c:catAx>
        <c:axId val="421954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948928"/>
        <c:crosses val="autoZero"/>
        <c:auto val="1"/>
        <c:lblAlgn val="ctr"/>
        <c:lblOffset val="100"/>
        <c:noMultiLvlLbl val="0"/>
      </c:catAx>
      <c:valAx>
        <c:axId val="421948928"/>
        <c:scaling>
          <c:orientation val="minMax"/>
        </c:scaling>
        <c:delete val="0"/>
        <c:axPos val="l"/>
        <c:numFmt formatCode="0.00%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954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385855995992756"/>
          <c:y val="0.15166597955251063"/>
          <c:w val="0.87598691528434325"/>
          <c:h val="0.74883156941400975"/>
        </c:manualLayout>
      </c:layout>
      <c:lineChart>
        <c:grouping val="standard"/>
        <c:varyColors val="0"/>
        <c:ser>
          <c:idx val="0"/>
          <c:order val="0"/>
          <c:tx>
            <c:strRef>
              <c:f>'Trend Analysis'!$C$269</c:f>
              <c:strCache>
                <c:ptCount val="1"/>
                <c:pt idx="0">
                  <c:v>Total non-current liabilities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rgbClr val="C00000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numRef>
              <c:f>'Trend Analysis'!$D$3:$M$3</c:f>
              <c:numCache>
                <c:formatCode>0</c:formatCode>
                <c:ptCount val="10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</c:numCache>
            </c:numRef>
          </c:cat>
          <c:val>
            <c:numRef>
              <c:f>'Trend Analysis'!$D$269:$M$269</c:f>
              <c:numCache>
                <c:formatCode>#,##0;\(#,##0\)</c:formatCode>
                <c:ptCount val="10"/>
                <c:pt idx="0">
                  <c:v>65676</c:v>
                </c:pt>
                <c:pt idx="1">
                  <c:v>61802</c:v>
                </c:pt>
                <c:pt idx="2">
                  <c:v>62803</c:v>
                </c:pt>
                <c:pt idx="3">
                  <c:v>70268</c:v>
                </c:pt>
                <c:pt idx="4">
                  <c:v>68225</c:v>
                </c:pt>
                <c:pt idx="5">
                  <c:v>93500</c:v>
                </c:pt>
                <c:pt idx="6">
                  <c:v>95376</c:v>
                </c:pt>
                <c:pt idx="7">
                  <c:v>79386</c:v>
                </c:pt>
                <c:pt idx="8">
                  <c:v>73717</c:v>
                </c:pt>
                <c:pt idx="9">
                  <c:v>78505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38-4481-B440-57163BBF5193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21975496"/>
        <c:axId val="421977792"/>
        <c:extLst/>
      </c:lineChart>
      <c:catAx>
        <c:axId val="421975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977792"/>
        <c:crosses val="autoZero"/>
        <c:auto val="1"/>
        <c:lblAlgn val="ctr"/>
        <c:lblOffset val="100"/>
        <c:noMultiLvlLbl val="0"/>
      </c:catAx>
      <c:valAx>
        <c:axId val="42197779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800"/>
                  <a:t>($ in millions)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;\(#,##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975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0067944035819053E-2"/>
          <c:y val="0.17964003049979205"/>
          <c:w val="0.8945465311281785"/>
          <c:h val="0.72085751846672841"/>
        </c:manualLayout>
      </c:layout>
      <c:lineChart>
        <c:grouping val="standard"/>
        <c:varyColors val="0"/>
        <c:ser>
          <c:idx val="0"/>
          <c:order val="0"/>
          <c:tx>
            <c:strRef>
              <c:f>'Trend Analysis'!$C$270</c:f>
              <c:strCache>
                <c:ptCount val="1"/>
                <c:pt idx="0">
                  <c:v>YoY % change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rgbClr val="C00000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numRef>
              <c:f>'Trend Analysis'!$E$3:$M$3</c:f>
              <c:numCache>
                <c:formatCode>0</c:formatCode>
                <c:ptCount val="9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</c:numCache>
            </c:numRef>
          </c:cat>
          <c:val>
            <c:numRef>
              <c:f>'Trend Analysis'!$E$270:$M$270</c:f>
              <c:numCache>
                <c:formatCode>0.00%</c:formatCode>
                <c:ptCount val="9"/>
                <c:pt idx="0">
                  <c:v>-5.8986539984164685E-2</c:v>
                </c:pt>
                <c:pt idx="1">
                  <c:v>1.6196886832141353E-2</c:v>
                </c:pt>
                <c:pt idx="2">
                  <c:v>0.11886374854704393</c:v>
                </c:pt>
                <c:pt idx="3">
                  <c:v>-2.9074400865258723E-2</c:v>
                </c:pt>
                <c:pt idx="4">
                  <c:v>0.37046537193111029</c:v>
                </c:pt>
                <c:pt idx="5">
                  <c:v>2.0064171122994651E-2</c:v>
                </c:pt>
                <c:pt idx="6">
                  <c:v>-0.1676522395571213</c:v>
                </c:pt>
                <c:pt idx="7">
                  <c:v>-7.1410576172121029E-2</c:v>
                </c:pt>
                <c:pt idx="8">
                  <c:v>6.4951096761940941E-2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21-429F-BD14-BC4147582A3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99070424"/>
        <c:axId val="399064848"/>
        <c:extLst/>
      </c:lineChart>
      <c:catAx>
        <c:axId val="399070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064848"/>
        <c:crosses val="autoZero"/>
        <c:auto val="1"/>
        <c:lblAlgn val="ctr"/>
        <c:lblOffset val="100"/>
        <c:noMultiLvlLbl val="0"/>
      </c:catAx>
      <c:valAx>
        <c:axId val="399064848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070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13584001786594"/>
          <c:y val="0.13612720707483547"/>
          <c:w val="0.86845958186961303"/>
          <c:h val="0.76549181053820614"/>
        </c:manualLayout>
      </c:layout>
      <c:lineChart>
        <c:grouping val="standard"/>
        <c:varyColors val="0"/>
        <c:ser>
          <c:idx val="0"/>
          <c:order val="0"/>
          <c:tx>
            <c:strRef>
              <c:f>'Trend Analysis'!$C$272</c:f>
              <c:strCache>
                <c:ptCount val="1"/>
                <c:pt idx="0">
                  <c:v>Total liabilities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rgbClr val="C00000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numRef>
              <c:f>'Trend Analysis'!$D$3:$M$3</c:f>
              <c:numCache>
                <c:formatCode>0</c:formatCode>
                <c:ptCount val="10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</c:numCache>
            </c:numRef>
          </c:cat>
          <c:val>
            <c:numRef>
              <c:f>'Trend Analysis'!$D$272:$M$272</c:f>
              <c:numCache>
                <c:formatCode>#,##0;\(#,##0\)</c:formatCode>
                <c:ptCount val="10"/>
                <c:pt idx="0">
                  <c:v>105257</c:v>
                </c:pt>
                <c:pt idx="1">
                  <c:v>96072</c:v>
                </c:pt>
                <c:pt idx="2">
                  <c:v>99078</c:v>
                </c:pt>
                <c:pt idx="3">
                  <c:v>107631</c:v>
                </c:pt>
                <c:pt idx="4">
                  <c:v>106452</c:v>
                </c:pt>
                <c:pt idx="5">
                  <c:v>131202</c:v>
                </c:pt>
                <c:pt idx="6">
                  <c:v>135245</c:v>
                </c:pt>
                <c:pt idx="7">
                  <c:v>113005</c:v>
                </c:pt>
                <c:pt idx="8">
                  <c:v>105222</c:v>
                </c:pt>
                <c:pt idx="9">
                  <c:v>112626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ED-49F9-B5DE-E0595676782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92321568"/>
        <c:axId val="392317960"/>
        <c:extLst/>
      </c:lineChart>
      <c:catAx>
        <c:axId val="39232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17960"/>
        <c:crosses val="autoZero"/>
        <c:auto val="1"/>
        <c:lblAlgn val="ctr"/>
        <c:lblOffset val="100"/>
        <c:noMultiLvlLbl val="0"/>
      </c:catAx>
      <c:valAx>
        <c:axId val="39231796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800"/>
                  <a:t>($ in millions)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;\(#,##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21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7677186974362956E-2"/>
          <c:y val="0.13612715766396069"/>
          <c:w val="0.89440931909870414"/>
          <c:h val="0.76549189565899156"/>
        </c:manualLayout>
      </c:layout>
      <c:lineChart>
        <c:grouping val="standard"/>
        <c:varyColors val="0"/>
        <c:ser>
          <c:idx val="0"/>
          <c:order val="0"/>
          <c:tx>
            <c:strRef>
              <c:f>'Trend Analysis'!$C$273</c:f>
              <c:strCache>
                <c:ptCount val="1"/>
                <c:pt idx="0">
                  <c:v>YoY % change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rgbClr val="C00000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numRef>
              <c:f>'Trend Analysis'!$E$3:$M$3</c:f>
              <c:numCache>
                <c:formatCode>0</c:formatCode>
                <c:ptCount val="9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</c:numCache>
            </c:numRef>
          </c:cat>
          <c:val>
            <c:numRef>
              <c:f>'Trend Analysis'!$E$273:$M$273</c:f>
              <c:numCache>
                <c:formatCode>0.00%</c:formatCode>
                <c:ptCount val="9"/>
                <c:pt idx="0">
                  <c:v>-8.7262604862384449E-2</c:v>
                </c:pt>
                <c:pt idx="1">
                  <c:v>3.1289033225081191E-2</c:v>
                </c:pt>
                <c:pt idx="2">
                  <c:v>8.632592502876521E-2</c:v>
                </c:pt>
                <c:pt idx="3">
                  <c:v>-1.0954093151601304E-2</c:v>
                </c:pt>
                <c:pt idx="4">
                  <c:v>0.2324991545485289</c:v>
                </c:pt>
                <c:pt idx="5">
                  <c:v>3.0815079038429293E-2</c:v>
                </c:pt>
                <c:pt idx="6">
                  <c:v>-0.16444230840326815</c:v>
                </c:pt>
                <c:pt idx="7">
                  <c:v>-6.8873058714216187E-2</c:v>
                </c:pt>
                <c:pt idx="8">
                  <c:v>7.0365512915549974E-2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F4-4BF3-803A-008666BF2BAD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92323536"/>
        <c:axId val="392318288"/>
        <c:extLst/>
      </c:lineChart>
      <c:catAx>
        <c:axId val="392323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18288"/>
        <c:crosses val="autoZero"/>
        <c:auto val="1"/>
        <c:lblAlgn val="ctr"/>
        <c:lblOffset val="100"/>
        <c:noMultiLvlLbl val="0"/>
      </c:catAx>
      <c:valAx>
        <c:axId val="392318288"/>
        <c:scaling>
          <c:orientation val="minMax"/>
        </c:scaling>
        <c:delete val="0"/>
        <c:axPos val="l"/>
        <c:numFmt formatCode="0.00%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235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8573612216879603E-2"/>
          <c:y val="0.15060185185185185"/>
          <c:w val="0.88127187879847035"/>
          <c:h val="0.7505938320209975"/>
        </c:manualLayout>
      </c:layout>
      <c:lineChart>
        <c:grouping val="standard"/>
        <c:varyColors val="0"/>
        <c:ser>
          <c:idx val="0"/>
          <c:order val="0"/>
          <c:tx>
            <c:strRef>
              <c:f>'Trend Analysis'!$C$275</c:f>
              <c:strCache>
                <c:ptCount val="1"/>
                <c:pt idx="0">
                  <c:v>Working capital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rgbClr val="C00000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numRef>
              <c:f>'Trend Analysis'!$D$3:$M$3</c:f>
              <c:numCache>
                <c:formatCode>0</c:formatCode>
                <c:ptCount val="10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</c:numCache>
            </c:numRef>
          </c:cat>
          <c:val>
            <c:numRef>
              <c:f>'Trend Analysis'!$D$275:$M$275</c:f>
              <c:numCache>
                <c:formatCode>#,##0;\(#,##0\)</c:formatCode>
                <c:ptCount val="10"/>
                <c:pt idx="0">
                  <c:v>7796</c:v>
                </c:pt>
                <c:pt idx="1">
                  <c:v>8234</c:v>
                </c:pt>
                <c:pt idx="2">
                  <c:v>7614</c:v>
                </c:pt>
                <c:pt idx="3">
                  <c:v>12372</c:v>
                </c:pt>
                <c:pt idx="4">
                  <c:v>10918</c:v>
                </c:pt>
                <c:pt idx="5">
                  <c:v>718</c:v>
                </c:pt>
                <c:pt idx="6">
                  <c:v>-704</c:v>
                </c:pt>
                <c:pt idx="7">
                  <c:v>-4080</c:v>
                </c:pt>
                <c:pt idx="8">
                  <c:v>-2387</c:v>
                </c:pt>
                <c:pt idx="9">
                  <c:v>-1212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A7-4D75-9B24-B849EE8CE75E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83772136"/>
        <c:axId val="383772792"/>
        <c:extLst/>
      </c:lineChart>
      <c:catAx>
        <c:axId val="383772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772792"/>
        <c:crosses val="autoZero"/>
        <c:auto val="1"/>
        <c:lblAlgn val="ctr"/>
        <c:lblOffset val="100"/>
        <c:noMultiLvlLbl val="0"/>
      </c:catAx>
      <c:valAx>
        <c:axId val="38377279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800"/>
                  <a:t>($ in millions)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;\(#,##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772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075359614251808"/>
          <c:y val="0.17837962962962964"/>
          <c:w val="0.88140620749470644"/>
          <c:h val="0.7228160542432196"/>
        </c:manualLayout>
      </c:layout>
      <c:lineChart>
        <c:grouping val="standard"/>
        <c:varyColors val="0"/>
        <c:ser>
          <c:idx val="0"/>
          <c:order val="0"/>
          <c:tx>
            <c:strRef>
              <c:f>'Trend Analysis'!$C$276</c:f>
              <c:strCache>
                <c:ptCount val="1"/>
                <c:pt idx="0">
                  <c:v>YoY % change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rgbClr val="C00000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numRef>
              <c:f>'Trend Analysis'!$E$3:$M$3</c:f>
              <c:numCache>
                <c:formatCode>0</c:formatCode>
                <c:ptCount val="9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</c:numCache>
            </c:numRef>
          </c:cat>
          <c:val>
            <c:numRef>
              <c:f>'Trend Analysis'!$E$276:$M$276</c:f>
              <c:numCache>
                <c:formatCode>0.00%</c:formatCode>
                <c:ptCount val="9"/>
                <c:pt idx="0">
                  <c:v>5.6182657773217036E-2</c:v>
                </c:pt>
                <c:pt idx="1">
                  <c:v>-7.529754675734758E-2</c:v>
                </c:pt>
                <c:pt idx="2">
                  <c:v>0.62490149724192279</c:v>
                </c:pt>
                <c:pt idx="3">
                  <c:v>-0.11752344002586486</c:v>
                </c:pt>
                <c:pt idx="4">
                  <c:v>-0.93423703975087014</c:v>
                </c:pt>
                <c:pt idx="5">
                  <c:v>-1.9805013927576602</c:v>
                </c:pt>
                <c:pt idx="6">
                  <c:v>-4.7954545454545459</c:v>
                </c:pt>
                <c:pt idx="7">
                  <c:v>0.41495098039215689</c:v>
                </c:pt>
                <c:pt idx="8">
                  <c:v>0.49224968579807288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16-419D-B22D-FC779E93899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17361120"/>
        <c:axId val="417363088"/>
        <c:extLst/>
      </c:lineChart>
      <c:catAx>
        <c:axId val="417361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363088"/>
        <c:crosses val="autoZero"/>
        <c:auto val="1"/>
        <c:lblAlgn val="ctr"/>
        <c:lblOffset val="100"/>
        <c:noMultiLvlLbl val="0"/>
      </c:catAx>
      <c:valAx>
        <c:axId val="417363088"/>
        <c:scaling>
          <c:orientation val="minMax"/>
        </c:scaling>
        <c:delete val="0"/>
        <c:axPos val="l"/>
        <c:numFmt formatCode="0.00%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361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6169540790872213E-2"/>
          <c:y val="0.13214833260131256"/>
          <c:w val="0.88367592893863478"/>
          <c:h val="0.76883207642745921"/>
        </c:manualLayout>
      </c:layout>
      <c:lineChart>
        <c:grouping val="standard"/>
        <c:varyColors val="0"/>
        <c:ser>
          <c:idx val="0"/>
          <c:order val="0"/>
          <c:tx>
            <c:strRef>
              <c:f>'Trend Analysis'!$C$278</c:f>
              <c:strCache>
                <c:ptCount val="1"/>
                <c:pt idx="0">
                  <c:v>Long-term debt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rgbClr val="C00000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numRef>
              <c:f>'Trend Analysis'!$D$3:$M$3</c:f>
              <c:numCache>
                <c:formatCode>0</c:formatCode>
                <c:ptCount val="10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</c:numCache>
            </c:numRef>
          </c:cat>
          <c:val>
            <c:numRef>
              <c:f>'Trend Analysis'!$D$278:$M$278</c:f>
              <c:numCache>
                <c:formatCode>#,##0;\(#,##0\)</c:formatCode>
                <c:ptCount val="10"/>
                <c:pt idx="0">
                  <c:v>34991</c:v>
                </c:pt>
                <c:pt idx="1">
                  <c:v>33428</c:v>
                </c:pt>
                <c:pt idx="2">
                  <c:v>34655</c:v>
                </c:pt>
                <c:pt idx="3">
                  <c:v>39837</c:v>
                </c:pt>
                <c:pt idx="4">
                  <c:v>35605</c:v>
                </c:pt>
                <c:pt idx="5">
                  <c:v>54102</c:v>
                </c:pt>
                <c:pt idx="6">
                  <c:v>54217</c:v>
                </c:pt>
                <c:pt idx="7">
                  <c:v>44917</c:v>
                </c:pt>
                <c:pt idx="8">
                  <c:v>46189</c:v>
                </c:pt>
                <c:pt idx="9">
                  <c:v>50121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D2-43E7-A52A-5422C0C7D701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507946680"/>
        <c:axId val="507947008"/>
        <c:extLst/>
      </c:lineChart>
      <c:catAx>
        <c:axId val="50794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947008"/>
        <c:crosses val="autoZero"/>
        <c:auto val="1"/>
        <c:lblAlgn val="ctr"/>
        <c:lblOffset val="100"/>
        <c:noMultiLvlLbl val="0"/>
      </c:catAx>
      <c:valAx>
        <c:axId val="50794700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800"/>
                  <a:t>($ in millions)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;\(#,##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946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8033416558626065E-2"/>
          <c:y val="0.14165076252213915"/>
          <c:w val="0.89223893573147683"/>
          <c:h val="0.75932949782846326"/>
        </c:manualLayout>
      </c:layout>
      <c:lineChart>
        <c:grouping val="standard"/>
        <c:varyColors val="0"/>
        <c:ser>
          <c:idx val="0"/>
          <c:order val="0"/>
          <c:tx>
            <c:strRef>
              <c:f>'Trend Analysis'!$C$279</c:f>
              <c:strCache>
                <c:ptCount val="1"/>
                <c:pt idx="0">
                  <c:v>YoY % change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rgbClr val="C00000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numRef>
              <c:f>'Trend Analysis'!$E$3:$M$3</c:f>
              <c:numCache>
                <c:formatCode>0</c:formatCode>
                <c:ptCount val="9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</c:numCache>
            </c:numRef>
          </c:cat>
          <c:val>
            <c:numRef>
              <c:f>'Trend Analysis'!$E$279:$M$279</c:f>
              <c:numCache>
                <c:formatCode>0.00%</c:formatCode>
                <c:ptCount val="9"/>
                <c:pt idx="0">
                  <c:v>-4.4668629076048127E-2</c:v>
                </c:pt>
                <c:pt idx="1">
                  <c:v>3.6705755653942802E-2</c:v>
                </c:pt>
                <c:pt idx="2">
                  <c:v>0.14953109219448854</c:v>
                </c:pt>
                <c:pt idx="3">
                  <c:v>-0.10623289906368451</c:v>
                </c:pt>
                <c:pt idx="4">
                  <c:v>0.5195056874034546</c:v>
                </c:pt>
                <c:pt idx="5">
                  <c:v>2.1256145798676574E-3</c:v>
                </c:pt>
                <c:pt idx="6">
                  <c:v>-0.1715329140306546</c:v>
                </c:pt>
                <c:pt idx="7">
                  <c:v>2.8318899303159159E-2</c:v>
                </c:pt>
                <c:pt idx="8">
                  <c:v>8.5128493797224453E-2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42-4593-AB56-301F2A743572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95945656"/>
        <c:axId val="395938768"/>
        <c:extLst/>
      </c:lineChart>
      <c:catAx>
        <c:axId val="395945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938768"/>
        <c:crosses val="autoZero"/>
        <c:auto val="1"/>
        <c:lblAlgn val="ctr"/>
        <c:lblOffset val="100"/>
        <c:noMultiLvlLbl val="0"/>
      </c:catAx>
      <c:valAx>
        <c:axId val="395938768"/>
        <c:scaling>
          <c:orientation val="minMax"/>
        </c:scaling>
        <c:delete val="0"/>
        <c:axPos val="l"/>
        <c:numFmt formatCode="0.00%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945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2481093464644851E-2"/>
          <c:y val="0.14690639954566734"/>
          <c:w val="0.88737103694690644"/>
          <c:h val="0.75365696709463348"/>
        </c:manualLayout>
      </c:layout>
      <c:lineChart>
        <c:grouping val="standard"/>
        <c:varyColors val="0"/>
        <c:ser>
          <c:idx val="0"/>
          <c:order val="0"/>
          <c:tx>
            <c:strRef>
              <c:f>'Trend Analysis'!$C$281</c:f>
              <c:strCache>
                <c:ptCount val="1"/>
                <c:pt idx="0">
                  <c:v>Total equity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rgbClr val="C00000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numRef>
              <c:f>'Trend Analysis'!$D$3:$M$3</c:f>
              <c:numCache>
                <c:formatCode>0</c:formatCode>
                <c:ptCount val="10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</c:numCache>
            </c:numRef>
          </c:cat>
          <c:val>
            <c:numRef>
              <c:f>'Trend Analysis'!$D$281:$M$281</c:f>
              <c:numCache>
                <c:formatCode>#,##0;\(#,##0\)</c:formatCode>
                <c:ptCount val="10"/>
                <c:pt idx="0">
                  <c:v>12015</c:v>
                </c:pt>
                <c:pt idx="1">
                  <c:v>14423</c:v>
                </c:pt>
                <c:pt idx="2">
                  <c:v>18392</c:v>
                </c:pt>
                <c:pt idx="3">
                  <c:v>17724</c:v>
                </c:pt>
                <c:pt idx="4">
                  <c:v>16929</c:v>
                </c:pt>
                <c:pt idx="5">
                  <c:v>20985</c:v>
                </c:pt>
                <c:pt idx="6">
                  <c:v>20726</c:v>
                </c:pt>
                <c:pt idx="7">
                  <c:v>18996</c:v>
                </c:pt>
                <c:pt idx="8">
                  <c:v>22021</c:v>
                </c:pt>
                <c:pt idx="9">
                  <c:v>22614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A5-416F-B41E-0E4B0413A182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92305496"/>
        <c:axId val="392297624"/>
        <c:extLst/>
      </c:lineChart>
      <c:catAx>
        <c:axId val="392305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297624"/>
        <c:crosses val="autoZero"/>
        <c:auto val="1"/>
        <c:lblAlgn val="ctr"/>
        <c:lblOffset val="100"/>
        <c:noMultiLvlLbl val="0"/>
      </c:catAx>
      <c:valAx>
        <c:axId val="39229762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800"/>
                  <a:t>($ in millions)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;\(#,##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05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9878297718584077E-2"/>
          <c:y val="0.14623124640708773"/>
          <c:w val="0.89206398264520759"/>
          <c:h val="0.75433197194052959"/>
        </c:manualLayout>
      </c:layout>
      <c:lineChart>
        <c:grouping val="standard"/>
        <c:varyColors val="0"/>
        <c:ser>
          <c:idx val="0"/>
          <c:order val="0"/>
          <c:tx>
            <c:strRef>
              <c:f>'Trend Analysis'!$C$282</c:f>
              <c:strCache>
                <c:ptCount val="1"/>
                <c:pt idx="0">
                  <c:v>YoY % change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rgbClr val="C00000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numRef>
              <c:f>'Trend Analysis'!$E$3:$M$3</c:f>
              <c:numCache>
                <c:formatCode>0</c:formatCode>
                <c:ptCount val="9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</c:numCache>
            </c:numRef>
          </c:cat>
          <c:val>
            <c:numRef>
              <c:f>'Trend Analysis'!$E$282:$M$282</c:f>
              <c:numCache>
                <c:formatCode>0.00%</c:formatCode>
                <c:ptCount val="9"/>
                <c:pt idx="0">
                  <c:v>0.20041614648356221</c:v>
                </c:pt>
                <c:pt idx="1">
                  <c:v>0.27518546765582752</c:v>
                </c:pt>
                <c:pt idx="2">
                  <c:v>-3.6320139190952588E-2</c:v>
                </c:pt>
                <c:pt idx="3">
                  <c:v>-4.4854434664861206E-2</c:v>
                </c:pt>
                <c:pt idx="4">
                  <c:v>0.23958887116781855</c:v>
                </c:pt>
                <c:pt idx="5">
                  <c:v>-1.2342149154157732E-2</c:v>
                </c:pt>
                <c:pt idx="6">
                  <c:v>-8.3470037633889799E-2</c:v>
                </c:pt>
                <c:pt idx="7">
                  <c:v>0.15924405137923772</c:v>
                </c:pt>
                <c:pt idx="8">
                  <c:v>2.692884065210481E-2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301-40CF-9C45-83D1E6831035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16296024"/>
        <c:axId val="416314064"/>
        <c:extLst/>
      </c:lineChart>
      <c:catAx>
        <c:axId val="416296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314064"/>
        <c:crosses val="autoZero"/>
        <c:auto val="1"/>
        <c:lblAlgn val="ctr"/>
        <c:lblOffset val="100"/>
        <c:noMultiLvlLbl val="0"/>
      </c:catAx>
      <c:valAx>
        <c:axId val="416314064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296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878870103666598"/>
          <c:y val="0.12781928331928105"/>
          <c:w val="0.87103005635566688"/>
          <c:h val="0.77274400975092172"/>
        </c:manualLayout>
      </c:layout>
      <c:lineChart>
        <c:grouping val="standard"/>
        <c:varyColors val="0"/>
        <c:ser>
          <c:idx val="0"/>
          <c:order val="0"/>
          <c:tx>
            <c:strRef>
              <c:f>'Trend Analysis'!$C$284</c:f>
              <c:strCache>
                <c:ptCount val="1"/>
                <c:pt idx="0">
                  <c:v>Total liabilities and equity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rgbClr val="C00000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numRef>
              <c:f>'Trend Analysis'!$D$3:$M$3</c:f>
              <c:numCache>
                <c:formatCode>0</c:formatCode>
                <c:ptCount val="10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</c:numCache>
            </c:numRef>
          </c:cat>
          <c:val>
            <c:numRef>
              <c:f>'Trend Analysis'!$D$284:$M$284</c:f>
              <c:numCache>
                <c:formatCode>#,##0;\(#,##0\)</c:formatCode>
                <c:ptCount val="10"/>
                <c:pt idx="0">
                  <c:v>117272</c:v>
                </c:pt>
                <c:pt idx="1">
                  <c:v>110495</c:v>
                </c:pt>
                <c:pt idx="2">
                  <c:v>117470</c:v>
                </c:pt>
                <c:pt idx="3">
                  <c:v>125355</c:v>
                </c:pt>
                <c:pt idx="4">
                  <c:v>123381</c:v>
                </c:pt>
                <c:pt idx="5">
                  <c:v>152187</c:v>
                </c:pt>
                <c:pt idx="6">
                  <c:v>155971</c:v>
                </c:pt>
                <c:pt idx="7">
                  <c:v>132001</c:v>
                </c:pt>
                <c:pt idx="8">
                  <c:v>127243</c:v>
                </c:pt>
                <c:pt idx="9">
                  <c:v>135240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D0-4EB4-9DBF-CB1B1E8475BE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97191840"/>
        <c:axId val="397189544"/>
        <c:extLst/>
      </c:lineChart>
      <c:catAx>
        <c:axId val="397191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189544"/>
        <c:crosses val="autoZero"/>
        <c:auto val="1"/>
        <c:lblAlgn val="ctr"/>
        <c:lblOffset val="100"/>
        <c:noMultiLvlLbl val="0"/>
      </c:catAx>
      <c:valAx>
        <c:axId val="39718954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800"/>
                  <a:t>($ in millions)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;\(#,##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19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8152359397234759E-2"/>
          <c:y val="0.14224708952412118"/>
          <c:w val="0.89408385304097671"/>
          <c:h val="0.75831631359655316"/>
        </c:manualLayout>
      </c:layout>
      <c:lineChart>
        <c:grouping val="standard"/>
        <c:varyColors val="0"/>
        <c:ser>
          <c:idx val="0"/>
          <c:order val="0"/>
          <c:tx>
            <c:strRef>
              <c:f>'Trend Analysis'!$C$285</c:f>
              <c:strCache>
                <c:ptCount val="1"/>
                <c:pt idx="0">
                  <c:v>YoY % change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rgbClr val="C00000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numRef>
              <c:f>'Trend Analysis'!$E$3:$M$3</c:f>
              <c:numCache>
                <c:formatCode>0</c:formatCode>
                <c:ptCount val="9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</c:numCache>
            </c:numRef>
          </c:cat>
          <c:val>
            <c:numRef>
              <c:f>'Trend Analysis'!$E$285:$M$285</c:f>
              <c:numCache>
                <c:formatCode>0.00%</c:formatCode>
                <c:ptCount val="9"/>
                <c:pt idx="0">
                  <c:v>-5.7788730472747116E-2</c:v>
                </c:pt>
                <c:pt idx="1">
                  <c:v>6.3125028281822704E-2</c:v>
                </c:pt>
                <c:pt idx="2">
                  <c:v>6.7123520898952918E-2</c:v>
                </c:pt>
                <c:pt idx="3">
                  <c:v>-1.5747277731243268E-2</c:v>
                </c:pt>
                <c:pt idx="4">
                  <c:v>0.2334719284168551</c:v>
                </c:pt>
                <c:pt idx="5">
                  <c:v>2.4864147397609521E-2</c:v>
                </c:pt>
                <c:pt idx="6">
                  <c:v>-0.15368241532079682</c:v>
                </c:pt>
                <c:pt idx="7">
                  <c:v>-3.6045181475897907E-2</c:v>
                </c:pt>
                <c:pt idx="8">
                  <c:v>6.2848250984337051E-2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3A-4246-92EE-96E8E122A27E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21964344"/>
        <c:axId val="421958440"/>
        <c:extLst/>
      </c:lineChart>
      <c:catAx>
        <c:axId val="421964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958440"/>
        <c:crosses val="autoZero"/>
        <c:auto val="1"/>
        <c:lblAlgn val="ctr"/>
        <c:lblOffset val="100"/>
        <c:noMultiLvlLbl val="0"/>
      </c:catAx>
      <c:valAx>
        <c:axId val="421958440"/>
        <c:scaling>
          <c:orientation val="minMax"/>
        </c:scaling>
        <c:delete val="0"/>
        <c:axPos val="l"/>
        <c:numFmt formatCode="0.00%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964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6977758855538831E-2"/>
          <c:y val="0.13094979908060481"/>
          <c:w val="0.88317016352402622"/>
          <c:h val="0.77024563865864604"/>
        </c:manualLayout>
      </c:layout>
      <c:lineChart>
        <c:grouping val="standard"/>
        <c:varyColors val="0"/>
        <c:ser>
          <c:idx val="0"/>
          <c:order val="0"/>
          <c:tx>
            <c:strRef>
              <c:f>'Trend Analysis'!$C$10</c:f>
              <c:strCache>
                <c:ptCount val="1"/>
                <c:pt idx="0">
                  <c:v>COGS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diamond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rgbClr val="C00000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numRef>
              <c:f>'Trend Analysis'!$D$3:$M$3</c:f>
              <c:numCache>
                <c:formatCode>0</c:formatCode>
                <c:ptCount val="10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</c:numCache>
            </c:numRef>
          </c:cat>
          <c:val>
            <c:numRef>
              <c:f>'Trend Analysis'!$D$10:$M$10</c:f>
              <c:numCache>
                <c:formatCode>#,##0;\(#,##0\)</c:formatCode>
                <c:ptCount val="10"/>
                <c:pt idx="0">
                  <c:v>46386</c:v>
                </c:pt>
                <c:pt idx="1">
                  <c:v>41057</c:v>
                </c:pt>
                <c:pt idx="2">
                  <c:v>41402</c:v>
                </c:pt>
                <c:pt idx="3">
                  <c:v>42196</c:v>
                </c:pt>
                <c:pt idx="4">
                  <c:v>42654</c:v>
                </c:pt>
                <c:pt idx="5">
                  <c:v>26180</c:v>
                </c:pt>
                <c:pt idx="6">
                  <c:v>24314</c:v>
                </c:pt>
                <c:pt idx="7">
                  <c:v>25865</c:v>
                </c:pt>
                <c:pt idx="8">
                  <c:v>27842</c:v>
                </c:pt>
                <c:pt idx="9">
                  <c:v>27560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65-44F2-89BA-72807731166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80317776"/>
        <c:axId val="380340408"/>
        <c:extLst/>
      </c:lineChart>
      <c:catAx>
        <c:axId val="380317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0340408"/>
        <c:crosses val="autoZero"/>
        <c:auto val="1"/>
        <c:lblAlgn val="ctr"/>
        <c:lblOffset val="100"/>
        <c:noMultiLvlLbl val="0"/>
      </c:catAx>
      <c:valAx>
        <c:axId val="38034040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800"/>
                  <a:t>($ in millions)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;\(#,##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0317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3232000767824952E-2"/>
          <c:y val="0.14439469416017933"/>
          <c:w val="0.88809696353992251"/>
          <c:h val="0.75680111686173801"/>
        </c:manualLayout>
      </c:layout>
      <c:lineChart>
        <c:grouping val="standard"/>
        <c:varyColors val="0"/>
        <c:ser>
          <c:idx val="0"/>
          <c:order val="0"/>
          <c:tx>
            <c:strRef>
              <c:f>'Trend Analysis'!$C$11</c:f>
              <c:strCache>
                <c:ptCount val="1"/>
                <c:pt idx="0">
                  <c:v>YoY % change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diamond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rgbClr val="C00000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numRef>
              <c:f>'Trend Analysis'!$E$3:$M$3</c:f>
              <c:numCache>
                <c:formatCode>0</c:formatCode>
                <c:ptCount val="9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</c:numCache>
            </c:numRef>
          </c:cat>
          <c:val>
            <c:numRef>
              <c:f>'Trend Analysis'!$E$11:$M$11</c:f>
              <c:numCache>
                <c:formatCode>0.00%</c:formatCode>
                <c:ptCount val="9"/>
                <c:pt idx="0">
                  <c:v>-0.11488380114689778</c:v>
                </c:pt>
                <c:pt idx="1">
                  <c:v>8.4029519935699959E-3</c:v>
                </c:pt>
                <c:pt idx="2">
                  <c:v>1.9177817496739191E-2</c:v>
                </c:pt>
                <c:pt idx="3">
                  <c:v>1.0854109394255351E-2</c:v>
                </c:pt>
                <c:pt idx="4">
                  <c:v>-0.386224035260468</c:v>
                </c:pt>
                <c:pt idx="5">
                  <c:v>-7.1275783040488871E-2</c:v>
                </c:pt>
                <c:pt idx="6">
                  <c:v>6.379040881796505E-2</c:v>
                </c:pt>
                <c:pt idx="7">
                  <c:v>7.6435337328436104E-2</c:v>
                </c:pt>
                <c:pt idx="8">
                  <c:v>-1.0128582716758872E-2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3F-4965-B32A-1F61FBE45A2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79387776"/>
        <c:axId val="379390400"/>
        <c:extLst/>
      </c:lineChart>
      <c:catAx>
        <c:axId val="379387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390400"/>
        <c:crosses val="autoZero"/>
        <c:auto val="1"/>
        <c:lblAlgn val="ctr"/>
        <c:lblOffset val="100"/>
        <c:noMultiLvlLbl val="0"/>
      </c:catAx>
      <c:valAx>
        <c:axId val="379390400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387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7675903179585147E-2"/>
          <c:y val="0.14884084822963375"/>
          <c:w val="0.88232365668666268"/>
          <c:h val="0.75277127868145677"/>
        </c:manualLayout>
      </c:layout>
      <c:lineChart>
        <c:grouping val="standard"/>
        <c:varyColors val="0"/>
        <c:ser>
          <c:idx val="0"/>
          <c:order val="0"/>
          <c:tx>
            <c:strRef>
              <c:f>'Trend Analysis'!$C$13</c:f>
              <c:strCache>
                <c:ptCount val="1"/>
                <c:pt idx="0">
                  <c:v>Gross profit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diamond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rgbClr val="C00000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numRef>
              <c:f>'Trend Analysis'!$D$3:$M$3</c:f>
              <c:numCache>
                <c:formatCode>0</c:formatCode>
                <c:ptCount val="10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</c:numCache>
            </c:numRef>
          </c:cat>
          <c:val>
            <c:numRef>
              <c:f>'Trend Analysis'!$D$13:$M$13</c:f>
              <c:numCache>
                <c:formatCode>#,##0;\(#,##0\)</c:formatCode>
                <c:ptCount val="10"/>
                <c:pt idx="0">
                  <c:v>46407</c:v>
                </c:pt>
                <c:pt idx="1">
                  <c:v>40685</c:v>
                </c:pt>
                <c:pt idx="2">
                  <c:v>38518</c:v>
                </c:pt>
                <c:pt idx="3">
                  <c:v>36943</c:v>
                </c:pt>
                <c:pt idx="4">
                  <c:v>36937</c:v>
                </c:pt>
                <c:pt idx="5">
                  <c:v>31534</c:v>
                </c:pt>
                <c:pt idx="6">
                  <c:v>30865</c:v>
                </c:pt>
                <c:pt idx="7">
                  <c:v>31486</c:v>
                </c:pt>
                <c:pt idx="8">
                  <c:v>32688</c:v>
                </c:pt>
                <c:pt idx="9">
                  <c:v>34300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CA-4FDE-85AC-7CF671A4A0C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93683424"/>
        <c:axId val="393684408"/>
        <c:extLst/>
      </c:lineChart>
      <c:catAx>
        <c:axId val="393683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684408"/>
        <c:crosses val="autoZero"/>
        <c:auto val="1"/>
        <c:lblAlgn val="ctr"/>
        <c:lblOffset val="100"/>
        <c:noMultiLvlLbl val="0"/>
      </c:catAx>
      <c:valAx>
        <c:axId val="39368440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800"/>
                  <a:t>($ in millions)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;\(#,##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683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2453005357801349E-2"/>
          <c:y val="0.14950751470117568"/>
          <c:w val="0.88897507646254958"/>
          <c:h val="0.75202812105042705"/>
        </c:manualLayout>
      </c:layout>
      <c:lineChart>
        <c:grouping val="standard"/>
        <c:varyColors val="0"/>
        <c:ser>
          <c:idx val="0"/>
          <c:order val="0"/>
          <c:tx>
            <c:strRef>
              <c:f>'Trend Analysis'!$C$14</c:f>
              <c:strCache>
                <c:ptCount val="1"/>
                <c:pt idx="0">
                  <c:v>YoY % change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diamond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rgbClr val="C00000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numRef>
              <c:f>'Trend Analysis'!$E$3:$M$3</c:f>
              <c:numCache>
                <c:formatCode>0</c:formatCode>
                <c:ptCount val="9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</c:numCache>
            </c:numRef>
          </c:cat>
          <c:val>
            <c:numRef>
              <c:f>'Trend Analysis'!$E$14:$M$14</c:f>
              <c:numCache>
                <c:formatCode>0.00%</c:formatCode>
                <c:ptCount val="9"/>
                <c:pt idx="0">
                  <c:v>-0.12330036416919865</c:v>
                </c:pt>
                <c:pt idx="1">
                  <c:v>-5.3262873294826152E-2</c:v>
                </c:pt>
                <c:pt idx="2">
                  <c:v>-4.0889973518874245E-2</c:v>
                </c:pt>
                <c:pt idx="3">
                  <c:v>-1.624123649947018E-4</c:v>
                </c:pt>
                <c:pt idx="4">
                  <c:v>-0.14627609172374578</c:v>
                </c:pt>
                <c:pt idx="5">
                  <c:v>-2.1215196296061389E-2</c:v>
                </c:pt>
                <c:pt idx="6">
                  <c:v>2.0119876883200938E-2</c:v>
                </c:pt>
                <c:pt idx="7">
                  <c:v>3.8175697135234721E-2</c:v>
                </c:pt>
                <c:pt idx="8">
                  <c:v>4.9314733235438002E-2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5A-4FA9-8E5C-ADF36A569C46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9405304"/>
        <c:axId val="299400712"/>
        <c:extLst/>
      </c:lineChart>
      <c:catAx>
        <c:axId val="299405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400712"/>
        <c:crosses val="autoZero"/>
        <c:auto val="1"/>
        <c:lblAlgn val="ctr"/>
        <c:lblOffset val="100"/>
        <c:noMultiLvlLbl val="0"/>
      </c:catAx>
      <c:valAx>
        <c:axId val="299400712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405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7585852267672635E-2"/>
          <c:y val="0.16854221347331583"/>
          <c:w val="0.88243171158996525"/>
          <c:h val="0.73265347039953344"/>
        </c:manualLayout>
      </c:layout>
      <c:lineChart>
        <c:grouping val="standard"/>
        <c:varyColors val="0"/>
        <c:ser>
          <c:idx val="0"/>
          <c:order val="0"/>
          <c:tx>
            <c:strRef>
              <c:f>'Trend Analysis'!$C$16</c:f>
              <c:strCache>
                <c:ptCount val="1"/>
                <c:pt idx="0">
                  <c:v>Operating expenses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diamond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rgbClr val="C00000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numRef>
              <c:f>'Trend Analysis'!$D$3:$M$3</c:f>
              <c:numCache>
                <c:formatCode>0</c:formatCode>
                <c:ptCount val="10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</c:numCache>
            </c:numRef>
          </c:cat>
          <c:val>
            <c:numRef>
              <c:f>'Trend Analysis'!$D$16:$M$16</c:f>
              <c:numCache>
                <c:formatCode>#,##0;\(#,##0\)</c:formatCode>
                <c:ptCount val="10"/>
                <c:pt idx="0">
                  <c:v>28617</c:v>
                </c:pt>
                <c:pt idx="1">
                  <c:v>25677</c:v>
                </c:pt>
                <c:pt idx="2">
                  <c:v>26595</c:v>
                </c:pt>
                <c:pt idx="3">
                  <c:v>25270</c:v>
                </c:pt>
                <c:pt idx="4">
                  <c:v>24745</c:v>
                </c:pt>
                <c:pt idx="5">
                  <c:v>24634</c:v>
                </c:pt>
                <c:pt idx="6">
                  <c:v>26823</c:v>
                </c:pt>
                <c:pt idx="7">
                  <c:v>25233</c:v>
                </c:pt>
                <c:pt idx="8">
                  <c:v>25176</c:v>
                </c:pt>
                <c:pt idx="9">
                  <c:v>25778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AE-4718-B149-8CB2FB8C1C0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39729896"/>
        <c:axId val="439723664"/>
        <c:extLst/>
      </c:lineChart>
      <c:catAx>
        <c:axId val="439729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723664"/>
        <c:crosses val="autoZero"/>
        <c:auto val="1"/>
        <c:lblAlgn val="ctr"/>
        <c:lblOffset val="100"/>
        <c:noMultiLvlLbl val="0"/>
      </c:catAx>
      <c:valAx>
        <c:axId val="439723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800"/>
                  <a:t>($ in millions)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;\(#,##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7298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1311313714336415E-2"/>
          <c:y val="0.17780147273257513"/>
          <c:w val="0.89234514682935218"/>
          <c:h val="0.72339421114027413"/>
        </c:manualLayout>
      </c:layout>
      <c:lineChart>
        <c:grouping val="standard"/>
        <c:varyColors val="0"/>
        <c:ser>
          <c:idx val="0"/>
          <c:order val="0"/>
          <c:tx>
            <c:strRef>
              <c:f>'Trend Analysis'!$C$17</c:f>
              <c:strCache>
                <c:ptCount val="1"/>
                <c:pt idx="0">
                  <c:v>YoY % change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diamond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rgbClr val="C00000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numRef>
              <c:f>'Trend Analysis'!$E$3:$M$3</c:f>
              <c:numCache>
                <c:formatCode>0</c:formatCode>
                <c:ptCount val="9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</c:numCache>
            </c:numRef>
          </c:cat>
          <c:val>
            <c:numRef>
              <c:f>'Trend Analysis'!$E$17:$M$17</c:f>
              <c:numCache>
                <c:formatCode>0.00%</c:formatCode>
                <c:ptCount val="9"/>
                <c:pt idx="0">
                  <c:v>-0.10273613586329799</c:v>
                </c:pt>
                <c:pt idx="1">
                  <c:v>3.5751840168243953E-2</c:v>
                </c:pt>
                <c:pt idx="2">
                  <c:v>-4.982139499906002E-2</c:v>
                </c:pt>
                <c:pt idx="3">
                  <c:v>-2.0775623268698085E-2</c:v>
                </c:pt>
                <c:pt idx="4">
                  <c:v>-4.4857546979187868E-3</c:v>
                </c:pt>
                <c:pt idx="5">
                  <c:v>8.8860923926280755E-2</c:v>
                </c:pt>
                <c:pt idx="6">
                  <c:v>-5.9277485739850144E-2</c:v>
                </c:pt>
                <c:pt idx="7">
                  <c:v>-2.258946617524682E-3</c:v>
                </c:pt>
                <c:pt idx="8">
                  <c:v>2.3911661900222425E-2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11-4445-8321-F31531F01EB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80416376"/>
        <c:axId val="380417360"/>
        <c:extLst/>
      </c:lineChart>
      <c:catAx>
        <c:axId val="380416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0417360"/>
        <c:crosses val="autoZero"/>
        <c:auto val="1"/>
        <c:lblAlgn val="ctr"/>
        <c:lblOffset val="100"/>
        <c:noMultiLvlLbl val="0"/>
      </c:catAx>
      <c:valAx>
        <c:axId val="380417360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0416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7425793077493689E-2"/>
          <c:y val="0.15002369495479734"/>
          <c:w val="0.88262447909619979"/>
          <c:h val="0.75117198891805204"/>
        </c:manualLayout>
      </c:layout>
      <c:lineChart>
        <c:grouping val="standard"/>
        <c:varyColors val="0"/>
        <c:ser>
          <c:idx val="0"/>
          <c:order val="0"/>
          <c:tx>
            <c:strRef>
              <c:f>'Trend Analysis'!$C$19</c:f>
              <c:strCache>
                <c:ptCount val="1"/>
                <c:pt idx="0">
                  <c:v>Operating income (EBIT)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diamond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rgbClr val="C00000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numRef>
              <c:f>'Trend Analysis'!$D$3:$M$3</c:f>
              <c:numCache>
                <c:formatCode>0</c:formatCode>
                <c:ptCount val="10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</c:numCache>
            </c:numRef>
          </c:cat>
          <c:val>
            <c:numRef>
              <c:f>'Trend Analysis'!$D$19:$M$19</c:f>
              <c:numCache>
                <c:formatCode>#,##0;\(#,##0\)</c:formatCode>
                <c:ptCount val="10"/>
                <c:pt idx="0">
                  <c:v>17790</c:v>
                </c:pt>
                <c:pt idx="1">
                  <c:v>15008</c:v>
                </c:pt>
                <c:pt idx="2">
                  <c:v>11923</c:v>
                </c:pt>
                <c:pt idx="3">
                  <c:v>11673</c:v>
                </c:pt>
                <c:pt idx="4">
                  <c:v>12192</c:v>
                </c:pt>
                <c:pt idx="5">
                  <c:v>6900</c:v>
                </c:pt>
                <c:pt idx="6">
                  <c:v>4042</c:v>
                </c:pt>
                <c:pt idx="7">
                  <c:v>6253</c:v>
                </c:pt>
                <c:pt idx="8">
                  <c:v>7512</c:v>
                </c:pt>
                <c:pt idx="9">
                  <c:v>8522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88-4789-B447-A3B3BACD66C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37235904"/>
        <c:axId val="437236560"/>
        <c:extLst/>
      </c:lineChart>
      <c:catAx>
        <c:axId val="437235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236560"/>
        <c:crosses val="autoZero"/>
        <c:auto val="1"/>
        <c:lblAlgn val="ctr"/>
        <c:lblOffset val="100"/>
        <c:noMultiLvlLbl val="0"/>
      </c:catAx>
      <c:valAx>
        <c:axId val="43723656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800"/>
                  <a:t>($ in millions)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;\(#,##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235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0647492745345712E-2"/>
          <c:y val="0.17272759510775737"/>
          <c:w val="0.89077389743217061"/>
          <c:h val="0.72846821591415989"/>
        </c:manualLayout>
      </c:layout>
      <c:lineChart>
        <c:grouping val="standard"/>
        <c:varyColors val="0"/>
        <c:ser>
          <c:idx val="0"/>
          <c:order val="0"/>
          <c:tx>
            <c:strRef>
              <c:f>'Trend Analysis'!$C$20</c:f>
              <c:strCache>
                <c:ptCount val="1"/>
                <c:pt idx="0">
                  <c:v>YoY % change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diamond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rgbClr val="C00000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numRef>
              <c:f>'Trend Analysis'!$E$3:$M$3</c:f>
              <c:numCache>
                <c:formatCode>0</c:formatCode>
                <c:ptCount val="9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</c:numCache>
            </c:numRef>
          </c:cat>
          <c:val>
            <c:numRef>
              <c:f>'Trend Analysis'!$E$20:$M$20</c:f>
              <c:numCache>
                <c:formatCode>0.00%</c:formatCode>
                <c:ptCount val="9"/>
                <c:pt idx="0">
                  <c:v>-0.15637998875772907</c:v>
                </c:pt>
                <c:pt idx="1">
                  <c:v>-0.20555703624733479</c:v>
                </c:pt>
                <c:pt idx="2">
                  <c:v>-2.0967877212111019E-2</c:v>
                </c:pt>
                <c:pt idx="3">
                  <c:v>4.4461578000513979E-2</c:v>
                </c:pt>
                <c:pt idx="4">
                  <c:v>-0.43405511811023623</c:v>
                </c:pt>
                <c:pt idx="5">
                  <c:v>-0.41420289855072467</c:v>
                </c:pt>
                <c:pt idx="6">
                  <c:v>0.54700643245917857</c:v>
                </c:pt>
                <c:pt idx="7">
                  <c:v>0.20134335518950897</c:v>
                </c:pt>
                <c:pt idx="8">
                  <c:v>0.13445154419595307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F0-4131-8428-F248BD8A0B0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36184672"/>
        <c:axId val="436188936"/>
        <c:extLst/>
      </c:lineChart>
      <c:catAx>
        <c:axId val="43618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188936"/>
        <c:crosses val="autoZero"/>
        <c:auto val="1"/>
        <c:lblAlgn val="ctr"/>
        <c:lblOffset val="100"/>
        <c:noMultiLvlLbl val="0"/>
      </c:catAx>
      <c:valAx>
        <c:axId val="436188936"/>
        <c:scaling>
          <c:orientation val="minMax"/>
        </c:scaling>
        <c:delete val="0"/>
        <c:axPos val="l"/>
        <c:numFmt formatCode="0.00%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184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EARNINGS</a:t>
            </a:r>
            <a:r>
              <a:rPr lang="en-US" sz="1100" baseline="0"/>
              <a:t> </a:t>
            </a:r>
            <a:r>
              <a:rPr lang="en-US" sz="1100"/>
              <a:t>BEFORE TAX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9547968365568798E-2"/>
          <c:y val="0.13288413948256467"/>
          <c:w val="0.88052095629726701"/>
          <c:h val="0.76788001499812519"/>
        </c:manualLayout>
      </c:layout>
      <c:lineChart>
        <c:grouping val="standard"/>
        <c:varyColors val="0"/>
        <c:ser>
          <c:idx val="0"/>
          <c:order val="0"/>
          <c:tx>
            <c:strRef>
              <c:f>'Trend Analysis'!$C$22</c:f>
              <c:strCache>
                <c:ptCount val="1"/>
                <c:pt idx="0">
                  <c:v>EBT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diamond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rgbClr val="C00000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numRef>
              <c:f>'Trend Analysis'!$D$3:$M$3</c:f>
              <c:numCache>
                <c:formatCode>0</c:formatCode>
                <c:ptCount val="10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</c:numCache>
            </c:numRef>
          </c:cat>
          <c:val>
            <c:numRef>
              <c:f>'Trend Analysis'!$D$22:$M$22</c:f>
              <c:numCache>
                <c:formatCode>#,##0;\(#,##0\)</c:formatCode>
                <c:ptCount val="10"/>
                <c:pt idx="0">
                  <c:v>19986</c:v>
                </c:pt>
                <c:pt idx="1">
                  <c:v>15946</c:v>
                </c:pt>
                <c:pt idx="2">
                  <c:v>12331</c:v>
                </c:pt>
                <c:pt idx="3">
                  <c:v>11399</c:v>
                </c:pt>
                <c:pt idx="4">
                  <c:v>11343</c:v>
                </c:pt>
                <c:pt idx="5">
                  <c:v>7207</c:v>
                </c:pt>
                <c:pt idx="6">
                  <c:v>2572</c:v>
                </c:pt>
                <c:pt idx="7">
                  <c:v>4837</c:v>
                </c:pt>
                <c:pt idx="8">
                  <c:v>1156</c:v>
                </c:pt>
                <c:pt idx="9">
                  <c:v>8689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15-4894-8155-250CD53A1FC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91318288"/>
        <c:axId val="391320584"/>
        <c:extLst/>
      </c:lineChart>
      <c:catAx>
        <c:axId val="391318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320584"/>
        <c:crosses val="autoZero"/>
        <c:auto val="1"/>
        <c:lblAlgn val="ctr"/>
        <c:lblOffset val="100"/>
        <c:noMultiLvlLbl val="0"/>
      </c:catAx>
      <c:valAx>
        <c:axId val="39132058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800"/>
                  <a:t>($ in millions)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;\(#,##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318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320246471052076"/>
          <c:y val="0.13423152814326678"/>
          <c:w val="0.87742493697315671"/>
          <c:h val="0.76817825885221958"/>
        </c:manualLayout>
      </c:layout>
      <c:lineChart>
        <c:grouping val="standard"/>
        <c:varyColors val="0"/>
        <c:ser>
          <c:idx val="0"/>
          <c:order val="0"/>
          <c:tx>
            <c:strRef>
              <c:f>'Trend Analysis'!$C$23</c:f>
              <c:strCache>
                <c:ptCount val="1"/>
                <c:pt idx="0">
                  <c:v>YoY % change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diamond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rgbClr val="C00000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numRef>
              <c:f>'Trend Analysis'!$E$3:$M$3</c:f>
              <c:numCache>
                <c:formatCode>0</c:formatCode>
                <c:ptCount val="9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</c:numCache>
            </c:numRef>
          </c:cat>
          <c:val>
            <c:numRef>
              <c:f>'Trend Analysis'!$E$23:$M$23</c:f>
              <c:numCache>
                <c:formatCode>0.00%</c:formatCode>
                <c:ptCount val="9"/>
                <c:pt idx="0">
                  <c:v>-0.20214149904933454</c:v>
                </c:pt>
                <c:pt idx="1">
                  <c:v>-0.22670262134704633</c:v>
                </c:pt>
                <c:pt idx="2">
                  <c:v>-7.5581866839672385E-2</c:v>
                </c:pt>
                <c:pt idx="3">
                  <c:v>-4.9127116413720806E-3</c:v>
                </c:pt>
                <c:pt idx="4">
                  <c:v>-0.36463016838578854</c:v>
                </c:pt>
                <c:pt idx="5">
                  <c:v>-0.64312473983627028</c:v>
                </c:pt>
                <c:pt idx="6">
                  <c:v>0.88063763608087098</c:v>
                </c:pt>
                <c:pt idx="7">
                  <c:v>-0.76100888980773207</c:v>
                </c:pt>
                <c:pt idx="8">
                  <c:v>6.5164359861591699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5F-4363-8ACF-5C9D00E4FDD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98542976"/>
        <c:axId val="398546256"/>
        <c:extLst/>
      </c:lineChart>
      <c:catAx>
        <c:axId val="398542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546256"/>
        <c:crosses val="autoZero"/>
        <c:auto val="1"/>
        <c:lblAlgn val="ctr"/>
        <c:lblOffset val="100"/>
        <c:noMultiLvlLbl val="0"/>
      </c:catAx>
      <c:valAx>
        <c:axId val="398546256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542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8968993296138424E-2"/>
          <c:y val="0.11706107091064173"/>
          <c:w val="0.88117872046161128"/>
          <c:h val="0.7841347401112756"/>
        </c:manualLayout>
      </c:layout>
      <c:lineChart>
        <c:grouping val="standard"/>
        <c:varyColors val="0"/>
        <c:ser>
          <c:idx val="0"/>
          <c:order val="0"/>
          <c:tx>
            <c:strRef>
              <c:f>'Trend Analysis'!$C$152</c:f>
              <c:strCache>
                <c:ptCount val="1"/>
                <c:pt idx="0">
                  <c:v>Foreign currency translation adjustments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rgbClr val="C00000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numRef>
              <c:f>'Trend Analysis'!$D$3:$M$3</c:f>
              <c:numCache>
                <c:formatCode>0</c:formatCode>
                <c:ptCount val="10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</c:numCache>
            </c:numRef>
          </c:cat>
          <c:val>
            <c:numRef>
              <c:f>'Trend Analysis'!$D$152:$M$152</c:f>
              <c:numCache>
                <c:formatCode>#,##0;\(#,##0\)</c:formatCode>
                <c:ptCount val="10"/>
                <c:pt idx="0">
                  <c:v>-1636</c:v>
                </c:pt>
                <c:pt idx="1">
                  <c:v>-1381</c:v>
                </c:pt>
                <c:pt idx="2">
                  <c:v>-20</c:v>
                </c:pt>
                <c:pt idx="3">
                  <c:v>152</c:v>
                </c:pt>
                <c:pt idx="4">
                  <c:v>-731</c:v>
                </c:pt>
                <c:pt idx="5">
                  <c:v>-40</c:v>
                </c:pt>
                <c:pt idx="6">
                  <c:v>-1499</c:v>
                </c:pt>
                <c:pt idx="7">
                  <c:v>986</c:v>
                </c:pt>
                <c:pt idx="8">
                  <c:v>177</c:v>
                </c:pt>
                <c:pt idx="9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A2-4FDA-BD0F-BB784814DBB3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46010928"/>
        <c:axId val="446013552"/>
        <c:extLst/>
      </c:lineChart>
      <c:catAx>
        <c:axId val="446010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013552"/>
        <c:crosses val="autoZero"/>
        <c:auto val="1"/>
        <c:lblAlgn val="ctr"/>
        <c:lblOffset val="100"/>
        <c:noMultiLvlLbl val="0"/>
      </c:catAx>
      <c:valAx>
        <c:axId val="44601355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800"/>
                  <a:t>($ in millions)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;\(#,##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010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923541078337369"/>
          <c:y val="0.14190825831907081"/>
          <c:w val="0.87126938619815064"/>
          <c:h val="0.75928755270284642"/>
        </c:manualLayout>
      </c:layout>
      <c:lineChart>
        <c:grouping val="standard"/>
        <c:varyColors val="0"/>
        <c:ser>
          <c:idx val="0"/>
          <c:order val="0"/>
          <c:tx>
            <c:strRef>
              <c:f>'Trend Analysis'!$C$153</c:f>
              <c:strCache>
                <c:ptCount val="1"/>
                <c:pt idx="0">
                  <c:v>YoY % change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rgbClr val="C00000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numRef>
              <c:f>'Trend Analysis'!$E$3:$M$3</c:f>
              <c:numCache>
                <c:formatCode>0</c:formatCode>
                <c:ptCount val="9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</c:numCache>
            </c:numRef>
          </c:cat>
          <c:val>
            <c:numRef>
              <c:f>'Trend Analysis'!$E$153:$M$153</c:f>
              <c:numCache>
                <c:formatCode>0.00%</c:formatCode>
                <c:ptCount val="9"/>
                <c:pt idx="0">
                  <c:v>0.15586797066014671</c:v>
                </c:pt>
                <c:pt idx="1">
                  <c:v>0.98551774076755971</c:v>
                </c:pt>
                <c:pt idx="2">
                  <c:v>8.6</c:v>
                </c:pt>
                <c:pt idx="3">
                  <c:v>-5.8092105263157894</c:v>
                </c:pt>
                <c:pt idx="4">
                  <c:v>0.94528043775649795</c:v>
                </c:pt>
                <c:pt idx="5">
                  <c:v>-36.475000000000001</c:v>
                </c:pt>
                <c:pt idx="6">
                  <c:v>1.657771847898599</c:v>
                </c:pt>
                <c:pt idx="7">
                  <c:v>-0.82048681541582147</c:v>
                </c:pt>
                <c:pt idx="8">
                  <c:v>-0.98870056497175141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A3-46B6-B991-87110227CAB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35414376"/>
        <c:axId val="435414704"/>
      </c:lineChart>
      <c:catAx>
        <c:axId val="435414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414704"/>
        <c:crosses val="autoZero"/>
        <c:auto val="1"/>
        <c:lblAlgn val="ctr"/>
        <c:lblOffset val="100"/>
        <c:noMultiLvlLbl val="0"/>
      </c:catAx>
      <c:valAx>
        <c:axId val="435414704"/>
        <c:scaling>
          <c:orientation val="minMax"/>
        </c:scaling>
        <c:delete val="0"/>
        <c:axPos val="l"/>
        <c:numFmt formatCode="0.00%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414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6438647943302712E-2"/>
          <c:y val="0.19372250539860053"/>
          <c:w val="0.90374150658053876"/>
          <c:h val="0.70747293234065034"/>
        </c:manualLayout>
      </c:layout>
      <c:lineChart>
        <c:grouping val="standard"/>
        <c:varyColors val="0"/>
        <c:ser>
          <c:idx val="0"/>
          <c:order val="0"/>
          <c:tx>
            <c:strRef>
              <c:f>'Trend Analysis'!$C$155</c:f>
              <c:strCache>
                <c:ptCount val="1"/>
                <c:pt idx="0">
                  <c:v>Total net changes related to available-for-sale securities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rgbClr val="C00000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numRef>
              <c:f>'Trend Analysis'!$D$3:$M$3</c:f>
              <c:numCache>
                <c:formatCode>0</c:formatCode>
                <c:ptCount val="10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</c:numCache>
            </c:numRef>
          </c:cat>
          <c:val>
            <c:numRef>
              <c:f>'Trend Analysis'!$D$155:$M$155</c:f>
              <c:numCache>
                <c:formatCode>#,##0;\(#,##0\)</c:formatCode>
                <c:ptCount val="10"/>
                <c:pt idx="0">
                  <c:v>-24</c:v>
                </c:pt>
                <c:pt idx="1">
                  <c:v>32</c:v>
                </c:pt>
                <c:pt idx="2">
                  <c:v>-4</c:v>
                </c:pt>
                <c:pt idx="3">
                  <c:v>2</c:v>
                </c:pt>
                <c:pt idx="4">
                  <c:v>-2</c:v>
                </c:pt>
                <c:pt idx="5">
                  <c:v>1</c:v>
                </c:pt>
                <c:pt idx="6">
                  <c:v>-1</c:v>
                </c:pt>
                <c:pt idx="7">
                  <c:v>0</c:v>
                </c:pt>
                <c:pt idx="8">
                  <c:v>-1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16-4D17-B1D4-27CDBC2BD1E5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11729424"/>
        <c:axId val="411733032"/>
        <c:extLst/>
      </c:lineChart>
      <c:catAx>
        <c:axId val="411729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733032"/>
        <c:crosses val="autoZero"/>
        <c:auto val="1"/>
        <c:lblAlgn val="ctr"/>
        <c:lblOffset val="100"/>
        <c:noMultiLvlLbl val="0"/>
      </c:catAx>
      <c:valAx>
        <c:axId val="4117330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800"/>
                  <a:t>($ in millions)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;\(#,##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729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8320988294914535E-2"/>
          <c:y val="0.13705670350344445"/>
          <c:w val="0.88200115018571623"/>
          <c:h val="0.7641391075184728"/>
        </c:manualLayout>
      </c:layout>
      <c:lineChart>
        <c:grouping val="standard"/>
        <c:varyColors val="0"/>
        <c:ser>
          <c:idx val="0"/>
          <c:order val="0"/>
          <c:tx>
            <c:strRef>
              <c:f>'Trend Analysis'!$C$156</c:f>
              <c:strCache>
                <c:ptCount val="1"/>
                <c:pt idx="0">
                  <c:v>YoY % change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rgbClr val="C00000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numRef>
              <c:f>'Trend Analysis'!$E$3:$M$3</c:f>
              <c:numCache>
                <c:formatCode>0</c:formatCode>
                <c:ptCount val="9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</c:numCache>
            </c:numRef>
          </c:cat>
          <c:val>
            <c:numRef>
              <c:f>'Trend Analysis'!$E$156:$M$156</c:f>
              <c:numCache>
                <c:formatCode>0.00%</c:formatCode>
                <c:ptCount val="9"/>
                <c:pt idx="0">
                  <c:v>2.3333333333333335</c:v>
                </c:pt>
                <c:pt idx="1">
                  <c:v>-1.125</c:v>
                </c:pt>
                <c:pt idx="2">
                  <c:v>1.5</c:v>
                </c:pt>
                <c:pt idx="3">
                  <c:v>-2</c:v>
                </c:pt>
                <c:pt idx="4">
                  <c:v>1.5</c:v>
                </c:pt>
                <c:pt idx="5">
                  <c:v>-2</c:v>
                </c:pt>
                <c:pt idx="6">
                  <c:v>1</c:v>
                </c:pt>
                <c:pt idx="7">
                  <c:v>-1</c:v>
                </c:pt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BB-46F6-B2CA-147AC5996B2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32835672"/>
        <c:axId val="432841576"/>
        <c:extLst/>
      </c:lineChart>
      <c:catAx>
        <c:axId val="432835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2841576"/>
        <c:crosses val="autoZero"/>
        <c:auto val="1"/>
        <c:lblAlgn val="ctr"/>
        <c:lblOffset val="100"/>
        <c:noMultiLvlLbl val="0"/>
      </c:catAx>
      <c:valAx>
        <c:axId val="432841576"/>
        <c:scaling>
          <c:orientation val="minMax"/>
        </c:scaling>
        <c:delete val="0"/>
        <c:axPos val="l"/>
        <c:numFmt formatCode="0.00%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2835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Total unrealized gains/(losses) on cash FLow hedges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7198151395717405E-2"/>
          <c:y val="0.1398820800056739"/>
          <c:w val="0.89278647366786001"/>
          <c:h val="0.76594355592800878"/>
        </c:manualLayout>
      </c:layout>
      <c:lineChart>
        <c:grouping val="standard"/>
        <c:varyColors val="0"/>
        <c:ser>
          <c:idx val="0"/>
          <c:order val="0"/>
          <c:tx>
            <c:strRef>
              <c:f>'Trend Analysis'!$C$158</c:f>
              <c:strCache>
                <c:ptCount val="1"/>
                <c:pt idx="0">
                  <c:v>Total unrealized gains/(losses) on cash ﬂow hedges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rgbClr val="C00000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numRef>
              <c:f>'Trend Analysis'!$D$3:$M$3</c:f>
              <c:numCache>
                <c:formatCode>0</c:formatCode>
                <c:ptCount val="10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</c:numCache>
            </c:numRef>
          </c:cat>
          <c:val>
            <c:numRef>
              <c:f>'Trend Analysis'!$D$158:$M$158</c:f>
              <c:numCache>
                <c:formatCode>#,##0;\(#,##0\)</c:formatCode>
                <c:ptCount val="10"/>
                <c:pt idx="0">
                  <c:v>861</c:v>
                </c:pt>
                <c:pt idx="1">
                  <c:v>-454</c:v>
                </c:pt>
                <c:pt idx="2">
                  <c:v>345</c:v>
                </c:pt>
                <c:pt idx="3">
                  <c:v>-421</c:v>
                </c:pt>
                <c:pt idx="4">
                  <c:v>313</c:v>
                </c:pt>
                <c:pt idx="5">
                  <c:v>-614</c:v>
                </c:pt>
                <c:pt idx="6">
                  <c:v>-370</c:v>
                </c:pt>
                <c:pt idx="7">
                  <c:v>587</c:v>
                </c:pt>
                <c:pt idx="8">
                  <c:v>-159</c:v>
                </c:pt>
                <c:pt idx="9">
                  <c:v>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D8-4276-A431-FB744238D13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38652264"/>
        <c:axId val="438658824"/>
        <c:extLst/>
      </c:lineChart>
      <c:catAx>
        <c:axId val="438652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658824"/>
        <c:crosses val="autoZero"/>
        <c:auto val="1"/>
        <c:lblAlgn val="ctr"/>
        <c:lblOffset val="100"/>
        <c:noMultiLvlLbl val="0"/>
      </c:catAx>
      <c:valAx>
        <c:axId val="43865882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800"/>
                  <a:t>($ in millions)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;\(#,##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652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YoY % change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268479336607356"/>
          <c:y val="0.13683422703425055"/>
          <c:w val="0.87879790524336032"/>
          <c:h val="0.76436121070500029"/>
        </c:manualLayout>
      </c:layout>
      <c:lineChart>
        <c:grouping val="standard"/>
        <c:varyColors val="0"/>
        <c:ser>
          <c:idx val="0"/>
          <c:order val="0"/>
          <c:tx>
            <c:strRef>
              <c:f>'Trend Analysis'!$C$159</c:f>
              <c:strCache>
                <c:ptCount val="1"/>
                <c:pt idx="0">
                  <c:v>YoY % change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rgbClr val="C00000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numRef>
              <c:f>'Trend Analysis'!$E$3:$M$3</c:f>
              <c:numCache>
                <c:formatCode>0</c:formatCode>
                <c:ptCount val="9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</c:numCache>
            </c:numRef>
          </c:cat>
          <c:val>
            <c:numRef>
              <c:f>'Trend Analysis'!$E$159:$M$159</c:f>
              <c:numCache>
                <c:formatCode>0.00%</c:formatCode>
                <c:ptCount val="9"/>
                <c:pt idx="0">
                  <c:v>-1.5272938443670152</c:v>
                </c:pt>
                <c:pt idx="1">
                  <c:v>1.7599118942731278</c:v>
                </c:pt>
                <c:pt idx="2">
                  <c:v>-2.2202898550724637</c:v>
                </c:pt>
                <c:pt idx="3">
                  <c:v>1.7434679334916865</c:v>
                </c:pt>
                <c:pt idx="4">
                  <c:v>-2.9616613418530351</c:v>
                </c:pt>
                <c:pt idx="5">
                  <c:v>0.3973941368078176</c:v>
                </c:pt>
                <c:pt idx="6">
                  <c:v>2.5864864864864865</c:v>
                </c:pt>
                <c:pt idx="7">
                  <c:v>-1.2708688245315163</c:v>
                </c:pt>
                <c:pt idx="8">
                  <c:v>1.3018867924528301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1AD-4CC4-A1BA-0CC5769C7D0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82338944"/>
        <c:axId val="382337960"/>
        <c:extLst/>
      </c:lineChart>
      <c:catAx>
        <c:axId val="382338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337960"/>
        <c:crosses val="autoZero"/>
        <c:auto val="1"/>
        <c:lblAlgn val="ctr"/>
        <c:lblOffset val="100"/>
        <c:noMultiLvlLbl val="0"/>
      </c:catAx>
      <c:valAx>
        <c:axId val="382337960"/>
        <c:scaling>
          <c:orientation val="minMax"/>
        </c:scaling>
        <c:delete val="0"/>
        <c:axPos val="l"/>
        <c:numFmt formatCode="0.00%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338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Total retirement-related bene</a:t>
            </a:r>
            <a:r>
              <a:rPr lang="en-US" sz="1100" baseline="0"/>
              <a:t>FI</a:t>
            </a:r>
            <a:r>
              <a:rPr lang="en-US" sz="1100"/>
              <a:t>t plans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804106532572216"/>
          <c:y val="0.16912037037037039"/>
          <c:w val="0.87191075388710038"/>
          <c:h val="0.7320753135024789"/>
        </c:manualLayout>
      </c:layout>
      <c:lineChart>
        <c:grouping val="standard"/>
        <c:varyColors val="0"/>
        <c:ser>
          <c:idx val="0"/>
          <c:order val="0"/>
          <c:tx>
            <c:strRef>
              <c:f>'Trend Analysis'!$C$161</c:f>
              <c:strCache>
                <c:ptCount val="1"/>
                <c:pt idx="0">
                  <c:v>Total retirement-related beneﬁt plans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rgbClr val="C00000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numRef>
              <c:f>'Trend Analysis'!$D$3:$M$3</c:f>
              <c:numCache>
                <c:formatCode>0</c:formatCode>
                <c:ptCount val="10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</c:numCache>
            </c:numRef>
          </c:cat>
          <c:val>
            <c:numRef>
              <c:f>'Trend Analysis'!$D$161:$M$161</c:f>
              <c:numCache>
                <c:formatCode>#,##0;\(#,##0\)</c:formatCode>
                <c:ptCount val="10"/>
                <c:pt idx="0">
                  <c:v>-7357</c:v>
                </c:pt>
                <c:pt idx="1">
                  <c:v>280</c:v>
                </c:pt>
                <c:pt idx="2">
                  <c:v>151</c:v>
                </c:pt>
                <c:pt idx="3">
                  <c:v>3502</c:v>
                </c:pt>
                <c:pt idx="4">
                  <c:v>205</c:v>
                </c:pt>
                <c:pt idx="5">
                  <c:v>1682</c:v>
                </c:pt>
                <c:pt idx="6">
                  <c:v>664</c:v>
                </c:pt>
                <c:pt idx="7">
                  <c:v>4969</c:v>
                </c:pt>
                <c:pt idx="8">
                  <c:v>8919</c:v>
                </c:pt>
                <c:pt idx="9">
                  <c:v>-2602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1C-4C7E-AB65-FE78989AA36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47052520"/>
        <c:axId val="447047272"/>
        <c:extLst/>
      </c:lineChart>
      <c:catAx>
        <c:axId val="447052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7047272"/>
        <c:crosses val="autoZero"/>
        <c:auto val="1"/>
        <c:lblAlgn val="ctr"/>
        <c:lblOffset val="100"/>
        <c:noMultiLvlLbl val="0"/>
      </c:catAx>
      <c:valAx>
        <c:axId val="4470472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800"/>
                  <a:t>($ in millions)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;\(#,##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7052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YoY % change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704890883697199"/>
          <c:y val="0.13683422703425055"/>
          <c:w val="0.87443379297521917"/>
          <c:h val="0.76436121070500029"/>
        </c:manualLayout>
      </c:layout>
      <c:lineChart>
        <c:grouping val="standard"/>
        <c:varyColors val="0"/>
        <c:ser>
          <c:idx val="0"/>
          <c:order val="0"/>
          <c:tx>
            <c:strRef>
              <c:f>'Trend Analysis'!$C$162</c:f>
              <c:strCache>
                <c:ptCount val="1"/>
                <c:pt idx="0">
                  <c:v>YoY % change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rgbClr val="C00000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numRef>
              <c:f>'Trend Analysis'!$E$3:$M$3</c:f>
              <c:numCache>
                <c:formatCode>0</c:formatCode>
                <c:ptCount val="9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</c:numCache>
            </c:numRef>
          </c:cat>
          <c:val>
            <c:numRef>
              <c:f>'Trend Analysis'!$E$162:$M$162</c:f>
              <c:numCache>
                <c:formatCode>0.00%</c:formatCode>
                <c:ptCount val="9"/>
                <c:pt idx="0">
                  <c:v>1.0380589914367269</c:v>
                </c:pt>
                <c:pt idx="1">
                  <c:v>-0.46071428571428569</c:v>
                </c:pt>
                <c:pt idx="2">
                  <c:v>22.192052980132452</c:v>
                </c:pt>
                <c:pt idx="3">
                  <c:v>-0.94146202170188464</c:v>
                </c:pt>
                <c:pt idx="4">
                  <c:v>7.204878048780488</c:v>
                </c:pt>
                <c:pt idx="5">
                  <c:v>-0.60523186682520813</c:v>
                </c:pt>
                <c:pt idx="6">
                  <c:v>6.4834337349397586</c:v>
                </c:pt>
                <c:pt idx="7">
                  <c:v>0.79492855705373311</c:v>
                </c:pt>
                <c:pt idx="8">
                  <c:v>-1.2917367417871959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28-461E-BC68-98F9B19AE66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11097312"/>
        <c:axId val="411097968"/>
        <c:extLst/>
      </c:lineChart>
      <c:catAx>
        <c:axId val="411097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097968"/>
        <c:crosses val="autoZero"/>
        <c:auto val="1"/>
        <c:lblAlgn val="ctr"/>
        <c:lblOffset val="100"/>
        <c:noMultiLvlLbl val="0"/>
      </c:catAx>
      <c:valAx>
        <c:axId val="411097968"/>
        <c:scaling>
          <c:orientation val="minMax"/>
        </c:scaling>
        <c:delete val="0"/>
        <c:axPos val="l"/>
        <c:numFmt formatCode="0.00%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097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6403664492978741E-2"/>
          <c:y val="0.1315280139309091"/>
          <c:w val="0.88354796714479933"/>
          <c:h val="0.76966779709100819"/>
        </c:manualLayout>
      </c:layout>
      <c:lineChart>
        <c:grouping val="standard"/>
        <c:varyColors val="0"/>
        <c:ser>
          <c:idx val="0"/>
          <c:order val="0"/>
          <c:tx>
            <c:strRef>
              <c:f>'Trend Analysis'!$C$164</c:f>
              <c:strCache>
                <c:ptCount val="1"/>
                <c:pt idx="0">
                  <c:v>Total comprehensive income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rgbClr val="C00000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numRef>
              <c:f>'Trend Analysis'!$D$3:$M$3</c:f>
              <c:numCache>
                <c:formatCode>0</c:formatCode>
                <c:ptCount val="10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</c:numCache>
            </c:numRef>
          </c:cat>
          <c:val>
            <c:numRef>
              <c:f>'Trend Analysis'!$D$164:$M$164</c:f>
              <c:numCache>
                <c:formatCode>#,##0;\(#,##0\)</c:formatCode>
                <c:ptCount val="10"/>
                <c:pt idx="0">
                  <c:v>5750</c:v>
                </c:pt>
                <c:pt idx="1">
                  <c:v>11460</c:v>
                </c:pt>
                <c:pt idx="2">
                  <c:v>12082</c:v>
                </c:pt>
                <c:pt idx="3">
                  <c:v>8558</c:v>
                </c:pt>
                <c:pt idx="4">
                  <c:v>8252</c:v>
                </c:pt>
                <c:pt idx="5">
                  <c:v>10325</c:v>
                </c:pt>
                <c:pt idx="6">
                  <c:v>4850</c:v>
                </c:pt>
                <c:pt idx="7">
                  <c:v>10582</c:v>
                </c:pt>
                <c:pt idx="8">
                  <c:v>8133</c:v>
                </c:pt>
                <c:pt idx="9">
                  <c:v>5480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1B-49A7-A829-C388FD8BDA46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32765808"/>
        <c:axId val="432766136"/>
        <c:extLst/>
      </c:lineChart>
      <c:catAx>
        <c:axId val="432765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2766136"/>
        <c:crosses val="autoZero"/>
        <c:auto val="1"/>
        <c:lblAlgn val="ctr"/>
        <c:lblOffset val="100"/>
        <c:noMultiLvlLbl val="0"/>
      </c:catAx>
      <c:valAx>
        <c:axId val="43276613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800"/>
                  <a:t>($ in millions)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;\(#,##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2765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3131315751923099E-2"/>
          <c:y val="0.120575527215106"/>
          <c:w val="0.88838182706568602"/>
          <c:h val="0.78061991052414481"/>
        </c:manualLayout>
      </c:layout>
      <c:lineChart>
        <c:grouping val="standard"/>
        <c:varyColors val="0"/>
        <c:ser>
          <c:idx val="0"/>
          <c:order val="0"/>
          <c:tx>
            <c:strRef>
              <c:f>'Trend Analysis'!$C$165</c:f>
              <c:strCache>
                <c:ptCount val="1"/>
                <c:pt idx="0">
                  <c:v>YoY % change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rgbClr val="C00000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numRef>
              <c:f>'Trend Analysis'!$E$3:$M$3</c:f>
              <c:numCache>
                <c:formatCode>0</c:formatCode>
                <c:ptCount val="9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</c:numCache>
            </c:numRef>
          </c:cat>
          <c:val>
            <c:numRef>
              <c:f>'Trend Analysis'!$E$165:$M$165</c:f>
              <c:numCache>
                <c:formatCode>0.00%</c:formatCode>
                <c:ptCount val="9"/>
                <c:pt idx="0">
                  <c:v>0.99304347826086958</c:v>
                </c:pt>
                <c:pt idx="1">
                  <c:v>5.4275741710296685E-2</c:v>
                </c:pt>
                <c:pt idx="2">
                  <c:v>-0.29167356397947358</c:v>
                </c:pt>
                <c:pt idx="3">
                  <c:v>-3.5756017761159151E-2</c:v>
                </c:pt>
                <c:pt idx="4">
                  <c:v>0.25121182743577314</c:v>
                </c:pt>
                <c:pt idx="5">
                  <c:v>-0.53026634382566584</c:v>
                </c:pt>
                <c:pt idx="6">
                  <c:v>1.1818556701030929</c:v>
                </c:pt>
                <c:pt idx="7">
                  <c:v>-0.23143073143073142</c:v>
                </c:pt>
                <c:pt idx="8">
                  <c:v>-0.32620189352022622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FF-4B0C-BE94-A40DCF28B60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05986104"/>
        <c:axId val="405985120"/>
        <c:extLst/>
      </c:lineChart>
      <c:catAx>
        <c:axId val="405986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985120"/>
        <c:crosses val="autoZero"/>
        <c:auto val="1"/>
        <c:lblAlgn val="ctr"/>
        <c:lblOffset val="100"/>
        <c:noMultiLvlLbl val="0"/>
      </c:catAx>
      <c:valAx>
        <c:axId val="405985120"/>
        <c:scaling>
          <c:orientation val="minMax"/>
        </c:scaling>
        <c:delete val="0"/>
        <c:axPos val="l"/>
        <c:numFmt formatCode="0.00%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986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6822537452517912E-2"/>
          <c:y val="0.14089820801856262"/>
          <c:w val="0.88339002412495815"/>
          <c:h val="0.76029719283864394"/>
        </c:manualLayout>
      </c:layout>
      <c:lineChart>
        <c:grouping val="standard"/>
        <c:varyColors val="0"/>
        <c:ser>
          <c:idx val="0"/>
          <c:order val="0"/>
          <c:tx>
            <c:strRef>
              <c:f>'Trend Analysis'!$C$462</c:f>
              <c:strCache>
                <c:ptCount val="1"/>
                <c:pt idx="0">
                  <c:v>Net cash provided by operating activities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rgbClr val="C00000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numRef>
              <c:f>'Trend Analysis'!$D$3:$M$3</c:f>
              <c:numCache>
                <c:formatCode>0</c:formatCode>
                <c:ptCount val="10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</c:numCache>
            </c:numRef>
          </c:cat>
          <c:val>
            <c:numRef>
              <c:f>'Trend Analysis'!$D$462:$M$462</c:f>
              <c:numCache>
                <c:formatCode>#,##0;\(#,##0\)</c:formatCode>
                <c:ptCount val="10"/>
                <c:pt idx="0">
                  <c:v>16870</c:v>
                </c:pt>
                <c:pt idx="1">
                  <c:v>17257</c:v>
                </c:pt>
                <c:pt idx="2">
                  <c:v>17085</c:v>
                </c:pt>
                <c:pt idx="3">
                  <c:v>16723</c:v>
                </c:pt>
                <c:pt idx="4">
                  <c:v>15249</c:v>
                </c:pt>
                <c:pt idx="5">
                  <c:v>14772</c:v>
                </c:pt>
                <c:pt idx="6">
                  <c:v>18198</c:v>
                </c:pt>
                <c:pt idx="7">
                  <c:v>12796</c:v>
                </c:pt>
                <c:pt idx="8">
                  <c:v>10435</c:v>
                </c:pt>
                <c:pt idx="9">
                  <c:v>13930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CD-41B2-A703-C9059DDCEBA1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48988032"/>
        <c:axId val="448990328"/>
        <c:extLst/>
      </c:lineChart>
      <c:catAx>
        <c:axId val="448988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990328"/>
        <c:crosses val="autoZero"/>
        <c:auto val="1"/>
        <c:lblAlgn val="ctr"/>
        <c:lblOffset val="100"/>
        <c:noMultiLvlLbl val="0"/>
      </c:catAx>
      <c:valAx>
        <c:axId val="44899032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800"/>
                  <a:t>($ in millions)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;\(#,##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988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873712568107206E-2"/>
          <c:y val="0.13683427811211474"/>
          <c:w val="0.89375050890915864"/>
          <c:h val="0.76436149602789771"/>
        </c:manualLayout>
      </c:layout>
      <c:lineChart>
        <c:grouping val="standard"/>
        <c:varyColors val="0"/>
        <c:ser>
          <c:idx val="0"/>
          <c:order val="0"/>
          <c:tx>
            <c:strRef>
              <c:f>'Trend Analysis'!$C$463</c:f>
              <c:strCache>
                <c:ptCount val="1"/>
                <c:pt idx="0">
                  <c:v>YoY % change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rgbClr val="C00000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numRef>
              <c:f>'Trend Analysis'!$E$3:$M$3</c:f>
              <c:numCache>
                <c:formatCode>0</c:formatCode>
                <c:ptCount val="9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</c:numCache>
            </c:numRef>
          </c:cat>
          <c:val>
            <c:numRef>
              <c:f>'Trend Analysis'!$E$463:$M$463</c:f>
              <c:numCache>
                <c:formatCode>0.00%</c:formatCode>
                <c:ptCount val="9"/>
                <c:pt idx="0">
                  <c:v>2.2940130409010075E-2</c:v>
                </c:pt>
                <c:pt idx="1">
                  <c:v>-9.9669699252477248E-3</c:v>
                </c:pt>
                <c:pt idx="2">
                  <c:v>-2.1188176763242611E-2</c:v>
                </c:pt>
                <c:pt idx="3">
                  <c:v>-8.8142079770376122E-2</c:v>
                </c:pt>
                <c:pt idx="4">
                  <c:v>-3.128073972063742E-2</c:v>
                </c:pt>
                <c:pt idx="5">
                  <c:v>0.23192526401299757</c:v>
                </c:pt>
                <c:pt idx="6">
                  <c:v>-0.2968458072315639</c:v>
                </c:pt>
                <c:pt idx="7">
                  <c:v>-0.18451078462019382</c:v>
                </c:pt>
                <c:pt idx="8">
                  <c:v>0.33493052228078579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44-4F83-A669-0B737991CC66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90434216"/>
        <c:axId val="390437824"/>
        <c:extLst/>
      </c:lineChart>
      <c:catAx>
        <c:axId val="390434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0437824"/>
        <c:crosses val="autoZero"/>
        <c:auto val="1"/>
        <c:lblAlgn val="ctr"/>
        <c:lblOffset val="100"/>
        <c:noMultiLvlLbl val="0"/>
      </c:catAx>
      <c:valAx>
        <c:axId val="390437824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0434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617517542014998"/>
          <c:y val="0.13163925216550607"/>
          <c:w val="0.87403719162867444"/>
          <c:h val="0.76955655885641128"/>
        </c:manualLayout>
      </c:layout>
      <c:lineChart>
        <c:grouping val="standard"/>
        <c:varyColors val="0"/>
        <c:ser>
          <c:idx val="0"/>
          <c:order val="0"/>
          <c:tx>
            <c:strRef>
              <c:f>'Trend Analysis'!$C$465</c:f>
              <c:strCache>
                <c:ptCount val="1"/>
                <c:pt idx="0">
                  <c:v>Net cash used in investing activities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rgbClr val="C00000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numRef>
              <c:f>'Trend Analysis'!$D$3:$M$3</c:f>
              <c:numCache>
                <c:formatCode>0</c:formatCode>
                <c:ptCount val="10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</c:numCache>
            </c:numRef>
          </c:cat>
          <c:val>
            <c:numRef>
              <c:f>'Trend Analysis'!$D$465:$M$465</c:f>
              <c:numCache>
                <c:formatCode>#,##0;\(#,##0\)</c:formatCode>
                <c:ptCount val="10"/>
                <c:pt idx="0">
                  <c:v>-3001</c:v>
                </c:pt>
                <c:pt idx="1">
                  <c:v>-8160</c:v>
                </c:pt>
                <c:pt idx="2">
                  <c:v>-10928</c:v>
                </c:pt>
                <c:pt idx="3">
                  <c:v>-7081</c:v>
                </c:pt>
                <c:pt idx="4">
                  <c:v>-4912</c:v>
                </c:pt>
                <c:pt idx="5">
                  <c:v>-26936</c:v>
                </c:pt>
                <c:pt idx="6">
                  <c:v>-3028</c:v>
                </c:pt>
                <c:pt idx="7">
                  <c:v>-5974</c:v>
                </c:pt>
                <c:pt idx="8">
                  <c:v>-4202</c:v>
                </c:pt>
                <c:pt idx="9">
                  <c:v>-7071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8E-4DF4-B672-C566176C7F15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50011696"/>
        <c:axId val="450009728"/>
        <c:extLst/>
      </c:lineChart>
      <c:catAx>
        <c:axId val="450011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0009728"/>
        <c:crosses val="autoZero"/>
        <c:auto val="1"/>
        <c:lblAlgn val="ctr"/>
        <c:lblOffset val="100"/>
        <c:noMultiLvlLbl val="0"/>
      </c:catAx>
      <c:valAx>
        <c:axId val="45000972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800"/>
                  <a:t>($ in millions)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;\(#,##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0011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296875565755492"/>
          <c:y val="0.13220477540515169"/>
          <c:w val="0.87909840858231481"/>
          <c:h val="0.76899103561676552"/>
        </c:manualLayout>
      </c:layout>
      <c:lineChart>
        <c:grouping val="standard"/>
        <c:varyColors val="0"/>
        <c:ser>
          <c:idx val="0"/>
          <c:order val="0"/>
          <c:tx>
            <c:strRef>
              <c:f>'Trend Analysis'!$C$466</c:f>
              <c:strCache>
                <c:ptCount val="1"/>
                <c:pt idx="0">
                  <c:v>YoY % change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rgbClr val="C00000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numRef>
              <c:f>'Trend Analysis'!$E$3:$M$3</c:f>
              <c:numCache>
                <c:formatCode>0</c:formatCode>
                <c:ptCount val="9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</c:numCache>
            </c:numRef>
          </c:cat>
          <c:val>
            <c:numRef>
              <c:f>'Trend Analysis'!$E$466:$M$466</c:f>
              <c:numCache>
                <c:formatCode>0.00%</c:formatCode>
                <c:ptCount val="9"/>
                <c:pt idx="0">
                  <c:v>-1.7190936354548483</c:v>
                </c:pt>
                <c:pt idx="1">
                  <c:v>-0.33921568627450982</c:v>
                </c:pt>
                <c:pt idx="2">
                  <c:v>0.35203147877013174</c:v>
                </c:pt>
                <c:pt idx="3">
                  <c:v>0.30631266770230192</c:v>
                </c:pt>
                <c:pt idx="4">
                  <c:v>-4.4837133550488604</c:v>
                </c:pt>
                <c:pt idx="5">
                  <c:v>0.88758538758538763</c:v>
                </c:pt>
                <c:pt idx="6">
                  <c:v>-0.97291941875825627</c:v>
                </c:pt>
                <c:pt idx="7">
                  <c:v>0.29661868095078675</c:v>
                </c:pt>
                <c:pt idx="8">
                  <c:v>-0.68277010947168015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C8-42B8-BB3E-2407A2A71BE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46504344"/>
        <c:axId val="446509592"/>
        <c:extLst/>
      </c:lineChart>
      <c:catAx>
        <c:axId val="446504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509592"/>
        <c:crosses val="autoZero"/>
        <c:auto val="1"/>
        <c:lblAlgn val="ctr"/>
        <c:lblOffset val="100"/>
        <c:noMultiLvlLbl val="0"/>
      </c:catAx>
      <c:valAx>
        <c:axId val="446509592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504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571338125545227"/>
          <c:y val="0.13671296296296295"/>
          <c:w val="0.87446690918975745"/>
          <c:h val="0.7691123505395161"/>
        </c:manualLayout>
      </c:layout>
      <c:lineChart>
        <c:grouping val="standard"/>
        <c:varyColors val="0"/>
        <c:ser>
          <c:idx val="0"/>
          <c:order val="0"/>
          <c:tx>
            <c:strRef>
              <c:f>'Trend Analysis'!$C$468</c:f>
              <c:strCache>
                <c:ptCount val="1"/>
                <c:pt idx="0">
                  <c:v>Net cash used in financing activities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rgbClr val="C00000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numRef>
              <c:f>'Trend Analysis'!$D$3:$M$3</c:f>
              <c:numCache>
                <c:formatCode>0</c:formatCode>
                <c:ptCount val="10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</c:numCache>
            </c:numRef>
          </c:cat>
          <c:val>
            <c:numRef>
              <c:f>'Trend Analysis'!$D$468:$M$468</c:f>
              <c:numCache>
                <c:formatCode>#,##0;\(#,##0\)</c:formatCode>
                <c:ptCount val="10"/>
                <c:pt idx="0">
                  <c:v>-15452</c:v>
                </c:pt>
                <c:pt idx="1">
                  <c:v>-9413</c:v>
                </c:pt>
                <c:pt idx="2">
                  <c:v>-5725</c:v>
                </c:pt>
                <c:pt idx="3">
                  <c:v>-6417</c:v>
                </c:pt>
                <c:pt idx="4">
                  <c:v>-10470</c:v>
                </c:pt>
                <c:pt idx="5">
                  <c:v>9043</c:v>
                </c:pt>
                <c:pt idx="6">
                  <c:v>-9721</c:v>
                </c:pt>
                <c:pt idx="7">
                  <c:v>-13354</c:v>
                </c:pt>
                <c:pt idx="8">
                  <c:v>-4958</c:v>
                </c:pt>
                <c:pt idx="9">
                  <c:v>-1769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F0-4AE5-84D6-11C9EF20E585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49955608"/>
        <c:axId val="449955280"/>
        <c:extLst/>
      </c:lineChart>
      <c:catAx>
        <c:axId val="449955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955280"/>
        <c:crosses val="autoZero"/>
        <c:auto val="1"/>
        <c:lblAlgn val="ctr"/>
        <c:lblOffset val="100"/>
        <c:noMultiLvlLbl val="0"/>
      </c:catAx>
      <c:valAx>
        <c:axId val="44995528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800"/>
                  <a:t>($ in millions)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;\(#,##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955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651240811697688E-2"/>
          <c:y val="0.12746408554145583"/>
          <c:w val="0.88586798435036929"/>
          <c:h val="0.77531369742080336"/>
        </c:manualLayout>
      </c:layout>
      <c:lineChart>
        <c:grouping val="standard"/>
        <c:varyColors val="0"/>
        <c:ser>
          <c:idx val="0"/>
          <c:order val="0"/>
          <c:tx>
            <c:strRef>
              <c:f>'Trend Analysis'!$C$469</c:f>
              <c:strCache>
                <c:ptCount val="1"/>
                <c:pt idx="0">
                  <c:v>YoY % change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rgbClr val="C00000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numRef>
              <c:f>'Trend Analysis'!$E$3:$M$3</c:f>
              <c:numCache>
                <c:formatCode>0</c:formatCode>
                <c:ptCount val="9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</c:numCache>
            </c:numRef>
          </c:cat>
          <c:val>
            <c:numRef>
              <c:f>'Trend Analysis'!$E$469:$M$469</c:f>
              <c:numCache>
                <c:formatCode>0.00%</c:formatCode>
                <c:ptCount val="9"/>
                <c:pt idx="0">
                  <c:v>0.39082319440849084</c:v>
                </c:pt>
                <c:pt idx="1">
                  <c:v>0.39179857643684268</c:v>
                </c:pt>
                <c:pt idx="2">
                  <c:v>-0.12087336244541484</c:v>
                </c:pt>
                <c:pt idx="3">
                  <c:v>-0.63160355306217864</c:v>
                </c:pt>
                <c:pt idx="4">
                  <c:v>1.8637058261700095</c:v>
                </c:pt>
                <c:pt idx="5">
                  <c:v>-2.0749751188764791</c:v>
                </c:pt>
                <c:pt idx="6">
                  <c:v>-0.37372698282069744</c:v>
                </c:pt>
                <c:pt idx="7">
                  <c:v>0.62872547551295488</c:v>
                </c:pt>
                <c:pt idx="8">
                  <c:v>0.64320290439693428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BA-4357-89FA-92DCCC472EF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70513192"/>
        <c:axId val="470515816"/>
        <c:extLst/>
      </c:lineChart>
      <c:catAx>
        <c:axId val="470513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0515816"/>
        <c:crosses val="autoZero"/>
        <c:auto val="1"/>
        <c:lblAlgn val="ctr"/>
        <c:lblOffset val="100"/>
        <c:noMultiLvlLbl val="0"/>
      </c:catAx>
      <c:valAx>
        <c:axId val="470515816"/>
        <c:scaling>
          <c:orientation val="minMax"/>
        </c:scaling>
        <c:delete val="0"/>
        <c:axPos val="l"/>
        <c:numFmt formatCode="0.00%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0513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6443668857510975E-2"/>
          <c:y val="0.17216804439077468"/>
          <c:w val="0.88198843045583342"/>
          <c:h val="0.73365759154290788"/>
        </c:manualLayout>
      </c:layout>
      <c:lineChart>
        <c:grouping val="standard"/>
        <c:varyColors val="0"/>
        <c:ser>
          <c:idx val="0"/>
          <c:order val="0"/>
          <c:tx>
            <c:strRef>
              <c:f>'Trend Analysis'!$C$471</c:f>
              <c:strCache>
                <c:ptCount val="1"/>
                <c:pt idx="0">
                  <c:v>Net change in cash and cash equivalents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rgbClr val="C00000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numRef>
              <c:f>'Trend Analysis'!$D$3:$M$3</c:f>
              <c:numCache>
                <c:formatCode>0</c:formatCode>
                <c:ptCount val="10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</c:numCache>
            </c:numRef>
          </c:cat>
          <c:val>
            <c:numRef>
              <c:f>'Trend Analysis'!$D$471:$M$471</c:f>
              <c:numCache>
                <c:formatCode>#,##0;\(#,##0\)</c:formatCode>
                <c:ptCount val="10"/>
                <c:pt idx="0">
                  <c:v>-2238</c:v>
                </c:pt>
                <c:pt idx="1">
                  <c:v>-789</c:v>
                </c:pt>
                <c:pt idx="2">
                  <c:v>381</c:v>
                </c:pt>
                <c:pt idx="3">
                  <c:v>4162</c:v>
                </c:pt>
                <c:pt idx="4">
                  <c:v>-628</c:v>
                </c:pt>
                <c:pt idx="5">
                  <c:v>-3288</c:v>
                </c:pt>
                <c:pt idx="6">
                  <c:v>5362</c:v>
                </c:pt>
                <c:pt idx="7">
                  <c:v>-6717</c:v>
                </c:pt>
                <c:pt idx="8">
                  <c:v>1031</c:v>
                </c:pt>
                <c:pt idx="9">
                  <c:v>5099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22-46ED-ACA0-23AF3994176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49958560"/>
        <c:axId val="449958232"/>
        <c:extLst/>
      </c:lineChart>
      <c:catAx>
        <c:axId val="449958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958232"/>
        <c:crosses val="autoZero"/>
        <c:auto val="1"/>
        <c:lblAlgn val="ctr"/>
        <c:lblOffset val="100"/>
        <c:noMultiLvlLbl val="0"/>
      </c:catAx>
      <c:valAx>
        <c:axId val="4499582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800"/>
                  <a:t>($ in millions)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;\(#,##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958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466810460573617"/>
          <c:y val="0.12735284730685886"/>
          <c:w val="0.87764524483944473"/>
          <c:h val="0.77384259043239212"/>
        </c:manualLayout>
      </c:layout>
      <c:lineChart>
        <c:grouping val="standard"/>
        <c:varyColors val="0"/>
        <c:ser>
          <c:idx val="0"/>
          <c:order val="0"/>
          <c:tx>
            <c:strRef>
              <c:f>'Trend Analysis'!$C$472</c:f>
              <c:strCache>
                <c:ptCount val="1"/>
                <c:pt idx="0">
                  <c:v>YoY % change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rgbClr val="C00000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numRef>
              <c:f>'Trend Analysis'!$E$3:$M$3</c:f>
              <c:numCache>
                <c:formatCode>0</c:formatCode>
                <c:ptCount val="9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</c:numCache>
            </c:numRef>
          </c:cat>
          <c:val>
            <c:numRef>
              <c:f>'Trend Analysis'!$E$472:$M$472</c:f>
              <c:numCache>
                <c:formatCode>0.00%</c:formatCode>
                <c:ptCount val="9"/>
                <c:pt idx="0">
                  <c:v>0.64745308310991956</c:v>
                </c:pt>
                <c:pt idx="1">
                  <c:v>1.4828897338403042</c:v>
                </c:pt>
                <c:pt idx="2">
                  <c:v>9.9238845144356951</c:v>
                </c:pt>
                <c:pt idx="3">
                  <c:v>-1.1508889956751562</c:v>
                </c:pt>
                <c:pt idx="4">
                  <c:v>-4.2356687898089174</c:v>
                </c:pt>
                <c:pt idx="5">
                  <c:v>2.6307785888077859</c:v>
                </c:pt>
                <c:pt idx="6">
                  <c:v>-2.252704214845207</c:v>
                </c:pt>
                <c:pt idx="7">
                  <c:v>1.153491141878815</c:v>
                </c:pt>
                <c:pt idx="8">
                  <c:v>3.9456838021338507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D9-41D6-ACF6-F6C56CF7B97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49099224"/>
        <c:axId val="449100536"/>
        <c:extLst/>
      </c:lineChart>
      <c:catAx>
        <c:axId val="449099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100536"/>
        <c:crosses val="autoZero"/>
        <c:auto val="1"/>
        <c:lblAlgn val="ctr"/>
        <c:lblOffset val="100"/>
        <c:noMultiLvlLbl val="0"/>
      </c:catAx>
      <c:valAx>
        <c:axId val="449100536"/>
        <c:scaling>
          <c:orientation val="minMax"/>
        </c:scaling>
        <c:delete val="0"/>
        <c:axPos val="l"/>
        <c:numFmt formatCode="0.00%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099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Cash and cash equivalents at beginning of period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4963480251979412E-2"/>
          <c:y val="0.12735284730685886"/>
          <c:w val="0.88515197592891703"/>
          <c:h val="0.77384259043239212"/>
        </c:manualLayout>
      </c:layout>
      <c:lineChart>
        <c:grouping val="standard"/>
        <c:varyColors val="0"/>
        <c:ser>
          <c:idx val="0"/>
          <c:order val="0"/>
          <c:tx>
            <c:strRef>
              <c:f>'Trend Analysis'!$C$474</c:f>
              <c:strCache>
                <c:ptCount val="1"/>
                <c:pt idx="0">
                  <c:v>Cash and cash equivalents at beginning of period (January 1)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rgbClr val="C00000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numRef>
              <c:f>'Trend Analysis'!$D$3:$M$3</c:f>
              <c:numCache>
                <c:formatCode>0</c:formatCode>
                <c:ptCount val="10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</c:numCache>
            </c:numRef>
          </c:cat>
          <c:val>
            <c:numRef>
              <c:f>'Trend Analysis'!$D$474:$M$474</c:f>
              <c:numCache>
                <c:formatCode>#,##0;\(#,##0\)</c:formatCode>
                <c:ptCount val="10"/>
                <c:pt idx="0">
                  <c:v>10714</c:v>
                </c:pt>
                <c:pt idx="1">
                  <c:v>8476</c:v>
                </c:pt>
                <c:pt idx="2">
                  <c:v>7687</c:v>
                </c:pt>
                <c:pt idx="3">
                  <c:v>8068</c:v>
                </c:pt>
                <c:pt idx="4">
                  <c:v>12230</c:v>
                </c:pt>
                <c:pt idx="5">
                  <c:v>11602</c:v>
                </c:pt>
                <c:pt idx="6">
                  <c:v>8314</c:v>
                </c:pt>
                <c:pt idx="7">
                  <c:v>13676</c:v>
                </c:pt>
                <c:pt idx="8">
                  <c:v>6959</c:v>
                </c:pt>
                <c:pt idx="9">
                  <c:v>7990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265-498F-B20C-75B16DA7671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20045488"/>
        <c:axId val="220050080"/>
        <c:extLst/>
      </c:lineChart>
      <c:catAx>
        <c:axId val="220045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0050080"/>
        <c:crosses val="autoZero"/>
        <c:auto val="1"/>
        <c:lblAlgn val="ctr"/>
        <c:lblOffset val="100"/>
        <c:noMultiLvlLbl val="0"/>
      </c:catAx>
      <c:valAx>
        <c:axId val="22005008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800"/>
                  <a:t>($ in millions)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;\(#,##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0045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YoY % change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6129446762375675E-2"/>
          <c:y val="0.13683422703425055"/>
          <c:w val="0.89672130778328818"/>
          <c:h val="0.76436121070500029"/>
        </c:manualLayout>
      </c:layout>
      <c:lineChart>
        <c:grouping val="standard"/>
        <c:varyColors val="0"/>
        <c:ser>
          <c:idx val="0"/>
          <c:order val="0"/>
          <c:tx>
            <c:strRef>
              <c:f>'Trend Analysis'!$C$475</c:f>
              <c:strCache>
                <c:ptCount val="1"/>
                <c:pt idx="0">
                  <c:v>YoY % change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rgbClr val="C00000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numRef>
              <c:f>'Trend Analysis'!$E$3:$M$3</c:f>
              <c:numCache>
                <c:formatCode>0</c:formatCode>
                <c:ptCount val="9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</c:numCache>
            </c:numRef>
          </c:cat>
          <c:val>
            <c:numRef>
              <c:f>'Trend Analysis'!$E$475:$M$475</c:f>
              <c:numCache>
                <c:formatCode>0.00%</c:formatCode>
                <c:ptCount val="9"/>
                <c:pt idx="0">
                  <c:v>-0.20888557028187418</c:v>
                </c:pt>
                <c:pt idx="1">
                  <c:v>-9.3086361491269462E-2</c:v>
                </c:pt>
                <c:pt idx="2">
                  <c:v>4.9564199297515286E-2</c:v>
                </c:pt>
                <c:pt idx="3">
                  <c:v>0.51586514625681701</c:v>
                </c:pt>
                <c:pt idx="4">
                  <c:v>-5.1349141455437446E-2</c:v>
                </c:pt>
                <c:pt idx="5">
                  <c:v>-0.28339941389415618</c:v>
                </c:pt>
                <c:pt idx="6">
                  <c:v>0.64493625210488337</c:v>
                </c:pt>
                <c:pt idx="7">
                  <c:v>-0.49115238373793507</c:v>
                </c:pt>
                <c:pt idx="8">
                  <c:v>0.1481534703261963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81-42A3-9125-91BBB0CE469D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49030672"/>
        <c:axId val="449032640"/>
        <c:extLst/>
      </c:lineChart>
      <c:catAx>
        <c:axId val="449030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032640"/>
        <c:crosses val="autoZero"/>
        <c:auto val="1"/>
        <c:lblAlgn val="ctr"/>
        <c:lblOffset val="100"/>
        <c:noMultiLvlLbl val="0"/>
      </c:catAx>
      <c:valAx>
        <c:axId val="449032640"/>
        <c:scaling>
          <c:orientation val="minMax"/>
        </c:scaling>
        <c:delete val="0"/>
        <c:axPos val="l"/>
        <c:numFmt formatCode="0.00%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030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Cash and cash equivalents at end of period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4974371049687756E-2"/>
          <c:y val="0.13231601363974863"/>
          <c:w val="0.88514100871686474"/>
          <c:h val="0.76887979738216861"/>
        </c:manualLayout>
      </c:layout>
      <c:lineChart>
        <c:grouping val="standard"/>
        <c:varyColors val="0"/>
        <c:ser>
          <c:idx val="0"/>
          <c:order val="0"/>
          <c:tx>
            <c:strRef>
              <c:f>'Trend Analysis'!$C$477</c:f>
              <c:strCache>
                <c:ptCount val="1"/>
                <c:pt idx="0">
                  <c:v>Cash and cash equivalents at end of period (December 31) 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rgbClr val="C00000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numRef>
              <c:f>'Trend Analysis'!$D$3:$M$3</c:f>
              <c:numCache>
                <c:formatCode>0</c:formatCode>
                <c:ptCount val="10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</c:numCache>
            </c:numRef>
          </c:cat>
          <c:val>
            <c:numRef>
              <c:f>'Trend Analysis'!$D$477:$M$477</c:f>
              <c:numCache>
                <c:formatCode>#,##0;\(#,##0\)</c:formatCode>
                <c:ptCount val="10"/>
                <c:pt idx="0">
                  <c:v>8476</c:v>
                </c:pt>
                <c:pt idx="1">
                  <c:v>7687</c:v>
                </c:pt>
                <c:pt idx="2">
                  <c:v>8068</c:v>
                </c:pt>
                <c:pt idx="3">
                  <c:v>12230</c:v>
                </c:pt>
                <c:pt idx="4">
                  <c:v>11602</c:v>
                </c:pt>
                <c:pt idx="5">
                  <c:v>8314</c:v>
                </c:pt>
                <c:pt idx="6">
                  <c:v>13676</c:v>
                </c:pt>
                <c:pt idx="7">
                  <c:v>6959</c:v>
                </c:pt>
                <c:pt idx="8">
                  <c:v>7990</c:v>
                </c:pt>
                <c:pt idx="9">
                  <c:v>13089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F6-48CC-B00B-380DD73F570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71259656"/>
        <c:axId val="471259984"/>
        <c:extLst/>
      </c:lineChart>
      <c:catAx>
        <c:axId val="471259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259984"/>
        <c:crosses val="autoZero"/>
        <c:auto val="1"/>
        <c:lblAlgn val="ctr"/>
        <c:lblOffset val="100"/>
        <c:noMultiLvlLbl val="0"/>
      </c:catAx>
      <c:valAx>
        <c:axId val="47125998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800"/>
                  <a:t>($ in millions)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;\(#,##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259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4930328375099113E-2"/>
          <c:y val="0.12768618872798332"/>
          <c:w val="0.88792891520991579"/>
          <c:h val="0.77350962229393383"/>
        </c:manualLayout>
      </c:layout>
      <c:lineChart>
        <c:grouping val="standard"/>
        <c:varyColors val="0"/>
        <c:ser>
          <c:idx val="0"/>
          <c:order val="0"/>
          <c:tx>
            <c:strRef>
              <c:f>'Trend Analysis'!$C$478</c:f>
              <c:strCache>
                <c:ptCount val="1"/>
                <c:pt idx="0">
                  <c:v>YoY % change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rgbClr val="C00000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numRef>
              <c:f>'Trend Analysis'!$E$3:$M$3</c:f>
              <c:numCache>
                <c:formatCode>0</c:formatCode>
                <c:ptCount val="9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</c:numCache>
            </c:numRef>
          </c:cat>
          <c:val>
            <c:numRef>
              <c:f>'Trend Analysis'!$E$478:$M$478</c:f>
              <c:numCache>
                <c:formatCode>0.00%</c:formatCode>
                <c:ptCount val="9"/>
                <c:pt idx="0">
                  <c:v>-9.3086361491269462E-2</c:v>
                </c:pt>
                <c:pt idx="1">
                  <c:v>4.9564199297515286E-2</c:v>
                </c:pt>
                <c:pt idx="2">
                  <c:v>0.51586514625681701</c:v>
                </c:pt>
                <c:pt idx="3">
                  <c:v>-5.1349141455437446E-2</c:v>
                </c:pt>
                <c:pt idx="4">
                  <c:v>-0.28339941389415618</c:v>
                </c:pt>
                <c:pt idx="5">
                  <c:v>0.64493625210488337</c:v>
                </c:pt>
                <c:pt idx="6">
                  <c:v>-0.49115238373793507</c:v>
                </c:pt>
                <c:pt idx="7">
                  <c:v>0.1481534703261963</c:v>
                </c:pt>
                <c:pt idx="8">
                  <c:v>0.63817271589486857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B4-4586-9AB3-0753522BE4E3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92719744"/>
        <c:axId val="392712528"/>
      </c:lineChart>
      <c:catAx>
        <c:axId val="392719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712528"/>
        <c:crosses val="autoZero"/>
        <c:auto val="1"/>
        <c:lblAlgn val="ctr"/>
        <c:lblOffset val="100"/>
        <c:noMultiLvlLbl val="0"/>
      </c:catAx>
      <c:valAx>
        <c:axId val="392712528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719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6935519581157314E-2"/>
          <c:y val="0.11734450205693966"/>
          <c:w val="0.88314722442901861"/>
          <c:h val="0.78419318122642701"/>
        </c:manualLayout>
      </c:layout>
      <c:lineChart>
        <c:grouping val="standard"/>
        <c:varyColors val="0"/>
        <c:ser>
          <c:idx val="0"/>
          <c:order val="0"/>
          <c:tx>
            <c:strRef>
              <c:f>'Trend Analysis'!$C$480</c:f>
              <c:strCache>
                <c:ptCount val="1"/>
                <c:pt idx="0">
                  <c:v>Free cash flow (FCF)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rgbClr val="C00000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numRef>
              <c:f>'Trend Analysis'!$D$3:$M$3</c:f>
              <c:numCache>
                <c:formatCode>0</c:formatCode>
                <c:ptCount val="10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</c:numCache>
            </c:numRef>
          </c:cat>
          <c:val>
            <c:numRef>
              <c:f>'Trend Analysis'!$D$480:$M$480</c:f>
              <c:numCache>
                <c:formatCode>#,##0;\(#,##0\)</c:formatCode>
                <c:ptCount val="10"/>
                <c:pt idx="0">
                  <c:v>13130</c:v>
                </c:pt>
                <c:pt idx="1">
                  <c:v>13678</c:v>
                </c:pt>
                <c:pt idx="2">
                  <c:v>13518</c:v>
                </c:pt>
                <c:pt idx="3">
                  <c:v>13494</c:v>
                </c:pt>
                <c:pt idx="4">
                  <c:v>11854</c:v>
                </c:pt>
                <c:pt idx="5">
                  <c:v>12486</c:v>
                </c:pt>
                <c:pt idx="6">
                  <c:v>15580</c:v>
                </c:pt>
                <c:pt idx="7">
                  <c:v>10734</c:v>
                </c:pt>
                <c:pt idx="8">
                  <c:v>9089</c:v>
                </c:pt>
                <c:pt idx="9">
                  <c:v>12685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A7-4B2E-8AD4-F6A103D503F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89169400"/>
        <c:axId val="389257960"/>
        <c:extLst/>
      </c:lineChart>
      <c:catAx>
        <c:axId val="389169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257960"/>
        <c:crosses val="autoZero"/>
        <c:auto val="1"/>
        <c:lblAlgn val="ctr"/>
        <c:lblOffset val="100"/>
        <c:noMultiLvlLbl val="0"/>
      </c:catAx>
      <c:valAx>
        <c:axId val="38925796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800"/>
                  <a:t>($ in millions)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;\(#,##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169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0155834481085897E-2"/>
          <c:y val="0.13208333333333333"/>
          <c:w val="0.89299862269691532"/>
          <c:h val="0.7691123505395161"/>
        </c:manualLayout>
      </c:layout>
      <c:lineChart>
        <c:grouping val="standard"/>
        <c:varyColors val="0"/>
        <c:ser>
          <c:idx val="0"/>
          <c:order val="0"/>
          <c:tx>
            <c:strRef>
              <c:f>'Trend Analysis'!$C$481</c:f>
              <c:strCache>
                <c:ptCount val="1"/>
                <c:pt idx="0">
                  <c:v>YoY % change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rgbClr val="C00000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numRef>
              <c:f>'Trend Analysis'!$E$3:$M$3</c:f>
              <c:numCache>
                <c:formatCode>0</c:formatCode>
                <c:ptCount val="9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</c:numCache>
            </c:numRef>
          </c:cat>
          <c:val>
            <c:numRef>
              <c:f>'Trend Analysis'!$E$481:$M$481</c:f>
              <c:numCache>
                <c:formatCode>0.00%</c:formatCode>
                <c:ptCount val="9"/>
                <c:pt idx="0">
                  <c:v>4.1736481340441736E-2</c:v>
                </c:pt>
                <c:pt idx="1">
                  <c:v>-1.1697616610615587E-2</c:v>
                </c:pt>
                <c:pt idx="2">
                  <c:v>-1.7754105636928539E-3</c:v>
                </c:pt>
                <c:pt idx="3">
                  <c:v>-0.12153549725804061</c:v>
                </c:pt>
                <c:pt idx="4">
                  <c:v>5.331533659524211E-2</c:v>
                </c:pt>
                <c:pt idx="5">
                  <c:v>0.2477975332372257</c:v>
                </c:pt>
                <c:pt idx="6">
                  <c:v>-0.31103979460847242</c:v>
                </c:pt>
                <c:pt idx="7">
                  <c:v>-0.15325135084777344</c:v>
                </c:pt>
                <c:pt idx="8">
                  <c:v>0.39564308504786005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6B-482F-A060-5BAD84C0603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92736144"/>
        <c:axId val="392738112"/>
      </c:lineChart>
      <c:catAx>
        <c:axId val="392736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738112"/>
        <c:crosses val="autoZero"/>
        <c:auto val="1"/>
        <c:lblAlgn val="ctr"/>
        <c:lblOffset val="100"/>
        <c:noMultiLvlLbl val="0"/>
      </c:catAx>
      <c:valAx>
        <c:axId val="392738112"/>
        <c:scaling>
          <c:orientation val="minMax"/>
        </c:scaling>
        <c:delete val="0"/>
        <c:axPos val="l"/>
        <c:numFmt formatCode="0.00%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736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YoY % changE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0398205174848201E-2"/>
          <c:y val="0.18300925925925926"/>
          <c:w val="0.89128556950183191"/>
          <c:h val="0.71818642461358995"/>
        </c:manualLayout>
      </c:layout>
      <c:lineChart>
        <c:grouping val="standard"/>
        <c:varyColors val="0"/>
        <c:ser>
          <c:idx val="0"/>
          <c:order val="0"/>
          <c:tx>
            <c:strRef>
              <c:f>'Trend Analysis'!$C$8</c:f>
              <c:strCache>
                <c:ptCount val="1"/>
                <c:pt idx="0">
                  <c:v>YoY % change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diamond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rgbClr val="C00000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numRef>
              <c:f>'Trend Analysis'!$E$3:$M$3</c:f>
              <c:numCache>
                <c:formatCode>0</c:formatCode>
                <c:ptCount val="9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</c:numCache>
            </c:numRef>
          </c:cat>
          <c:val>
            <c:numRef>
              <c:f>'Trend Analysis'!$E$8:$M$8</c:f>
              <c:numCache>
                <c:formatCode>0.00%</c:formatCode>
                <c:ptCount val="9"/>
                <c:pt idx="0">
                  <c:v>-0.11909303503497026</c:v>
                </c:pt>
                <c:pt idx="1">
                  <c:v>-2.2289643023170491E-2</c:v>
                </c:pt>
                <c:pt idx="2">
                  <c:v>-9.7722722722722866E-3</c:v>
                </c:pt>
                <c:pt idx="3">
                  <c:v>5.7114696925661956E-3</c:v>
                </c:pt>
                <c:pt idx="4">
                  <c:v>-0.27486776143031244</c:v>
                </c:pt>
                <c:pt idx="5">
                  <c:v>-4.3923484769726628E-2</c:v>
                </c:pt>
                <c:pt idx="6">
                  <c:v>3.9362801065622843E-2</c:v>
                </c:pt>
                <c:pt idx="7">
                  <c:v>5.5430594061132377E-2</c:v>
                </c:pt>
                <c:pt idx="8">
                  <c:v>2.197257558235588E-2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70-406C-9044-E0422CE0F90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57129648"/>
        <c:axId val="457132600"/>
        <c:extLst/>
      </c:lineChart>
      <c:catAx>
        <c:axId val="457129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132600"/>
        <c:crosses val="autoZero"/>
        <c:auto val="1"/>
        <c:lblAlgn val="ctr"/>
        <c:lblOffset val="100"/>
        <c:noMultiLvlLbl val="0"/>
      </c:catAx>
      <c:valAx>
        <c:axId val="457132600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129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cked"/>
        <c:varyColors val="0"/>
        <c:ser>
          <c:idx val="0"/>
          <c:order val="0"/>
          <c:tx>
            <c:strRef>
              <c:f>'Income statement'!$A$4</c:f>
              <c:strCache>
                <c:ptCount val="1"/>
                <c:pt idx="0">
                  <c:v>Services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cat>
            <c:numRef>
              <c:f>'Income statement'!$B$2:$K$2</c:f>
              <c:numCache>
                <c:formatCode>0</c:formatCode>
                <c:ptCount val="10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</c:numCache>
            </c:numRef>
          </c:cat>
          <c:val>
            <c:numRef>
              <c:f>'Income statement'!$B$4:$K$4</c:f>
              <c:numCache>
                <c:formatCode>#,##0;\(#,##0\)</c:formatCode>
                <c:ptCount val="10"/>
                <c:pt idx="0">
                  <c:v>55673</c:v>
                </c:pt>
                <c:pt idx="1">
                  <c:v>49911</c:v>
                </c:pt>
                <c:pt idx="2">
                  <c:v>51268</c:v>
                </c:pt>
                <c:pt idx="3">
                  <c:v>48652</c:v>
                </c:pt>
                <c:pt idx="4">
                  <c:v>49257</c:v>
                </c:pt>
                <c:pt idx="5">
                  <c:v>29141</c:v>
                </c:pt>
                <c:pt idx="6">
                  <c:v>27626</c:v>
                </c:pt>
                <c:pt idx="7">
                  <c:v>29225</c:v>
                </c:pt>
                <c:pt idx="8">
                  <c:v>30206</c:v>
                </c:pt>
                <c:pt idx="9">
                  <c:v>30378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E8-4EF7-9BA1-6F4B7018B17C}"/>
            </c:ext>
          </c:extLst>
        </c:ser>
        <c:ser>
          <c:idx val="1"/>
          <c:order val="1"/>
          <c:tx>
            <c:strRef>
              <c:f>'Income statement'!$A$5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cat>
            <c:numRef>
              <c:f>'Income statement'!$B$2:$K$2</c:f>
              <c:numCache>
                <c:formatCode>0</c:formatCode>
                <c:ptCount val="10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</c:numCache>
            </c:numRef>
          </c:cat>
          <c:val>
            <c:numRef>
              <c:f>'Income statement'!$B$5:$K$5</c:f>
              <c:numCache>
                <c:formatCode>#,##0;\(#,##0\)</c:formatCode>
                <c:ptCount val="10"/>
                <c:pt idx="0">
                  <c:v>35063</c:v>
                </c:pt>
                <c:pt idx="1">
                  <c:v>29967</c:v>
                </c:pt>
                <c:pt idx="2">
                  <c:v>26942</c:v>
                </c:pt>
                <c:pt idx="3">
                  <c:v>28772</c:v>
                </c:pt>
                <c:pt idx="4">
                  <c:v>28735</c:v>
                </c:pt>
                <c:pt idx="5">
                  <c:v>27357</c:v>
                </c:pt>
                <c:pt idx="6">
                  <c:v>26569</c:v>
                </c:pt>
                <c:pt idx="7">
                  <c:v>27346</c:v>
                </c:pt>
                <c:pt idx="8">
                  <c:v>29673</c:v>
                </c:pt>
                <c:pt idx="9">
                  <c:v>30745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E8-4EF7-9BA1-6F4B7018B17C}"/>
            </c:ext>
          </c:extLst>
        </c:ser>
        <c:ser>
          <c:idx val="2"/>
          <c:order val="2"/>
          <c:tx>
            <c:strRef>
              <c:f>'Income statement'!$A$6</c:f>
              <c:strCache>
                <c:ptCount val="1"/>
                <c:pt idx="0">
                  <c:v>Financing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cat>
            <c:numRef>
              <c:f>'Income statement'!$B$2:$K$2</c:f>
              <c:numCache>
                <c:formatCode>0</c:formatCode>
                <c:ptCount val="10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</c:numCache>
            </c:numRef>
          </c:cat>
          <c:val>
            <c:numRef>
              <c:f>'Income statement'!$B$6:$K$6</c:f>
              <c:numCache>
                <c:formatCode>#,##0;\(#,##0\)</c:formatCode>
                <c:ptCount val="10"/>
                <c:pt idx="0">
                  <c:v>2057</c:v>
                </c:pt>
                <c:pt idx="1">
                  <c:v>1864</c:v>
                </c:pt>
                <c:pt idx="2">
                  <c:v>1710</c:v>
                </c:pt>
                <c:pt idx="3">
                  <c:v>1715</c:v>
                </c:pt>
                <c:pt idx="4">
                  <c:v>1599</c:v>
                </c:pt>
                <c:pt idx="5">
                  <c:v>1216</c:v>
                </c:pt>
                <c:pt idx="6">
                  <c:v>984</c:v>
                </c:pt>
                <c:pt idx="7">
                  <c:v>780</c:v>
                </c:pt>
                <c:pt idx="8">
                  <c:v>651</c:v>
                </c:pt>
                <c:pt idx="9">
                  <c:v>737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E8-4EF7-9BA1-6F4B7018B1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491256"/>
        <c:axId val="466492568"/>
      </c:areaChart>
      <c:catAx>
        <c:axId val="466491256"/>
        <c:scaling>
          <c:orientation val="minMax"/>
        </c:scaling>
        <c:delete val="0"/>
        <c:axPos val="b"/>
        <c:numFmt formatCode="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492568"/>
        <c:crosses val="autoZero"/>
        <c:auto val="1"/>
        <c:lblAlgn val="ctr"/>
        <c:lblOffset val="100"/>
        <c:noMultiLvlLbl val="0"/>
      </c:catAx>
      <c:valAx>
        <c:axId val="466492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;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4912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cked"/>
        <c:varyColors val="0"/>
        <c:ser>
          <c:idx val="0"/>
          <c:order val="0"/>
          <c:tx>
            <c:strRef>
              <c:f>'Income statement'!$A$9</c:f>
              <c:strCache>
                <c:ptCount val="1"/>
                <c:pt idx="0">
                  <c:v>Services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cat>
            <c:numRef>
              <c:f>'Income statement'!$B$2:$K$2</c:f>
              <c:numCache>
                <c:formatCode>0</c:formatCode>
                <c:ptCount val="10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</c:numCache>
            </c:numRef>
          </c:cat>
          <c:val>
            <c:numRef>
              <c:f>'Income statement'!$B$9:$K$9</c:f>
              <c:numCache>
                <c:formatCode>#,##0;\(#,##0\)</c:formatCode>
                <c:ptCount val="10"/>
                <c:pt idx="0">
                  <c:v>36034</c:v>
                </c:pt>
                <c:pt idx="1">
                  <c:v>33126</c:v>
                </c:pt>
                <c:pt idx="2">
                  <c:v>33792</c:v>
                </c:pt>
                <c:pt idx="3">
                  <c:v>33399</c:v>
                </c:pt>
                <c:pt idx="4">
                  <c:v>33687</c:v>
                </c:pt>
                <c:pt idx="5">
                  <c:v>19009</c:v>
                </c:pt>
                <c:pt idx="6">
                  <c:v>17689</c:v>
                </c:pt>
                <c:pt idx="7">
                  <c:v>19147</c:v>
                </c:pt>
                <c:pt idx="8">
                  <c:v>21062</c:v>
                </c:pt>
                <c:pt idx="9">
                  <c:v>21051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6B-4B02-A008-BE9219B4BB43}"/>
            </c:ext>
          </c:extLst>
        </c:ser>
        <c:ser>
          <c:idx val="1"/>
          <c:order val="1"/>
          <c:tx>
            <c:strRef>
              <c:f>'Income statement'!$A$10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cat>
            <c:numRef>
              <c:f>'Income statement'!$B$2:$K$2</c:f>
              <c:numCache>
                <c:formatCode>0</c:formatCode>
                <c:ptCount val="10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</c:numCache>
            </c:numRef>
          </c:cat>
          <c:val>
            <c:numRef>
              <c:f>'Income statement'!$B$10:$K$10</c:f>
              <c:numCache>
                <c:formatCode>#,##0;\(#,##0\)</c:formatCode>
                <c:ptCount val="10"/>
                <c:pt idx="0">
                  <c:v>9312</c:v>
                </c:pt>
                <c:pt idx="1">
                  <c:v>6920</c:v>
                </c:pt>
                <c:pt idx="2">
                  <c:v>6566</c:v>
                </c:pt>
                <c:pt idx="3">
                  <c:v>7587</c:v>
                </c:pt>
                <c:pt idx="4">
                  <c:v>7835</c:v>
                </c:pt>
                <c:pt idx="5">
                  <c:v>6467</c:v>
                </c:pt>
                <c:pt idx="6">
                  <c:v>6048</c:v>
                </c:pt>
                <c:pt idx="7">
                  <c:v>6184</c:v>
                </c:pt>
                <c:pt idx="8">
                  <c:v>6374</c:v>
                </c:pt>
                <c:pt idx="9">
                  <c:v>6127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6B-4B02-A008-BE9219B4BB43}"/>
            </c:ext>
          </c:extLst>
        </c:ser>
        <c:ser>
          <c:idx val="2"/>
          <c:order val="2"/>
          <c:tx>
            <c:strRef>
              <c:f>'Income statement'!$A$11</c:f>
              <c:strCache>
                <c:ptCount val="1"/>
                <c:pt idx="0">
                  <c:v>Financing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cat>
            <c:numRef>
              <c:f>'Income statement'!$B$2:$K$2</c:f>
              <c:numCache>
                <c:formatCode>0</c:formatCode>
                <c:ptCount val="10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</c:numCache>
            </c:numRef>
          </c:cat>
          <c:val>
            <c:numRef>
              <c:f>'Income statement'!$B$11:$K$11</c:f>
              <c:numCache>
                <c:formatCode>#,##0;\(#,##0\)</c:formatCode>
                <c:ptCount val="10"/>
                <c:pt idx="0">
                  <c:v>1040</c:v>
                </c:pt>
                <c:pt idx="1">
                  <c:v>1011</c:v>
                </c:pt>
                <c:pt idx="2">
                  <c:v>1044</c:v>
                </c:pt>
                <c:pt idx="3">
                  <c:v>1210</c:v>
                </c:pt>
                <c:pt idx="4">
                  <c:v>1132</c:v>
                </c:pt>
                <c:pt idx="5">
                  <c:v>704</c:v>
                </c:pt>
                <c:pt idx="6">
                  <c:v>577</c:v>
                </c:pt>
                <c:pt idx="7">
                  <c:v>534</c:v>
                </c:pt>
                <c:pt idx="8">
                  <c:v>406</c:v>
                </c:pt>
                <c:pt idx="9">
                  <c:v>382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6B-4B02-A008-BE9219B4BB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7154056"/>
        <c:axId val="467154712"/>
      </c:areaChart>
      <c:catAx>
        <c:axId val="467154056"/>
        <c:scaling>
          <c:orientation val="minMax"/>
        </c:scaling>
        <c:delete val="0"/>
        <c:axPos val="b"/>
        <c:numFmt formatCode="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154712"/>
        <c:crosses val="autoZero"/>
        <c:auto val="1"/>
        <c:lblAlgn val="ctr"/>
        <c:lblOffset val="100"/>
        <c:noMultiLvlLbl val="0"/>
      </c:catAx>
      <c:valAx>
        <c:axId val="467154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;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1540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4566316716091716E-2"/>
          <c:y val="0.15156652398315981"/>
          <c:w val="0.89847555433970372"/>
          <c:h val="0.7446380947348024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'Income statement'!$A$18</c:f>
              <c:strCache>
                <c:ptCount val="1"/>
                <c:pt idx="0">
                  <c:v>Earnings before interest and tax (EBIT)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'Income statement'!$B$2:$K$2</c:f>
              <c:numCache>
                <c:formatCode>0</c:formatCode>
                <c:ptCount val="10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</c:numCache>
            </c:numRef>
          </c:cat>
          <c:val>
            <c:numRef>
              <c:f>'Income statement'!$B$18:$K$18</c:f>
              <c:numCache>
                <c:formatCode>#,##0;\(#,##0\)</c:formatCode>
                <c:ptCount val="10"/>
                <c:pt idx="0">
                  <c:v>17790</c:v>
                </c:pt>
                <c:pt idx="1">
                  <c:v>15008</c:v>
                </c:pt>
                <c:pt idx="2">
                  <c:v>11923</c:v>
                </c:pt>
                <c:pt idx="3">
                  <c:v>11673</c:v>
                </c:pt>
                <c:pt idx="4">
                  <c:v>12192</c:v>
                </c:pt>
                <c:pt idx="5">
                  <c:v>6900</c:v>
                </c:pt>
                <c:pt idx="6">
                  <c:v>4042</c:v>
                </c:pt>
                <c:pt idx="7">
                  <c:v>6253</c:v>
                </c:pt>
                <c:pt idx="8">
                  <c:v>7512</c:v>
                </c:pt>
                <c:pt idx="9">
                  <c:v>8522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E8-4751-BC82-1379A53FA1F4}"/>
            </c:ext>
          </c:extLst>
        </c:ser>
        <c:ser>
          <c:idx val="1"/>
          <c:order val="1"/>
          <c:tx>
            <c:strRef>
              <c:f>'Income statement'!$A$27</c:f>
              <c:strCache>
                <c:ptCount val="1"/>
                <c:pt idx="0">
                  <c:v>Net income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'Income statement'!$B$2:$K$2</c:f>
              <c:numCache>
                <c:formatCode>0</c:formatCode>
                <c:ptCount val="10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</c:numCache>
            </c:numRef>
          </c:cat>
          <c:val>
            <c:numRef>
              <c:f>'Income statement'!$B$27:$K$27</c:f>
              <c:numCache>
                <c:formatCode>#,##0;\(#,##0\)</c:formatCode>
                <c:ptCount val="10"/>
                <c:pt idx="0">
                  <c:v>12023</c:v>
                </c:pt>
                <c:pt idx="1">
                  <c:v>13191</c:v>
                </c:pt>
                <c:pt idx="2">
                  <c:v>11873</c:v>
                </c:pt>
                <c:pt idx="3">
                  <c:v>5752</c:v>
                </c:pt>
                <c:pt idx="4">
                  <c:v>8729</c:v>
                </c:pt>
                <c:pt idx="5">
                  <c:v>9432</c:v>
                </c:pt>
                <c:pt idx="6">
                  <c:v>5590</c:v>
                </c:pt>
                <c:pt idx="7">
                  <c:v>5743</c:v>
                </c:pt>
                <c:pt idx="8">
                  <c:v>1639</c:v>
                </c:pt>
                <c:pt idx="9">
                  <c:v>7501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5E8-4751-BC82-1379A53FA1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16062192"/>
        <c:axId val="516059568"/>
      </c:barChart>
      <c:catAx>
        <c:axId val="516062192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059568"/>
        <c:crosses val="autoZero"/>
        <c:auto val="1"/>
        <c:lblAlgn val="ctr"/>
        <c:lblOffset val="100"/>
        <c:noMultiLvlLbl val="0"/>
      </c:catAx>
      <c:valAx>
        <c:axId val="516059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;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062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'Income statement'!$A$13</c:f>
              <c:strCache>
                <c:ptCount val="1"/>
                <c:pt idx="0">
                  <c:v>Gross profit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'Income statement'!$B$2:$K$2</c:f>
              <c:numCache>
                <c:formatCode>0</c:formatCode>
                <c:ptCount val="10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</c:numCache>
            </c:numRef>
          </c:cat>
          <c:val>
            <c:numRef>
              <c:f>'Income statement'!$B$13:$K$13</c:f>
              <c:numCache>
                <c:formatCode>#,##0;\(#,##0\)</c:formatCode>
                <c:ptCount val="10"/>
                <c:pt idx="0">
                  <c:v>46407</c:v>
                </c:pt>
                <c:pt idx="1">
                  <c:v>40685</c:v>
                </c:pt>
                <c:pt idx="2">
                  <c:v>38518</c:v>
                </c:pt>
                <c:pt idx="3">
                  <c:v>36943</c:v>
                </c:pt>
                <c:pt idx="4">
                  <c:v>36937</c:v>
                </c:pt>
                <c:pt idx="5">
                  <c:v>31534</c:v>
                </c:pt>
                <c:pt idx="6">
                  <c:v>30865</c:v>
                </c:pt>
                <c:pt idx="7">
                  <c:v>31486</c:v>
                </c:pt>
                <c:pt idx="8">
                  <c:v>32688</c:v>
                </c:pt>
                <c:pt idx="9">
                  <c:v>34300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75-464D-95C1-2C21ABFAC941}"/>
            </c:ext>
          </c:extLst>
        </c:ser>
        <c:ser>
          <c:idx val="1"/>
          <c:order val="1"/>
          <c:tx>
            <c:strRef>
              <c:f>'Income statement'!$A$27</c:f>
              <c:strCache>
                <c:ptCount val="1"/>
                <c:pt idx="0">
                  <c:v>Net income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'Income statement'!$B$2:$K$2</c:f>
              <c:numCache>
                <c:formatCode>0</c:formatCode>
                <c:ptCount val="10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</c:numCache>
            </c:numRef>
          </c:cat>
          <c:val>
            <c:numRef>
              <c:f>'Income statement'!$B$27:$K$27</c:f>
              <c:numCache>
                <c:formatCode>#,##0;\(#,##0\)</c:formatCode>
                <c:ptCount val="10"/>
                <c:pt idx="0">
                  <c:v>12023</c:v>
                </c:pt>
                <c:pt idx="1">
                  <c:v>13191</c:v>
                </c:pt>
                <c:pt idx="2">
                  <c:v>11873</c:v>
                </c:pt>
                <c:pt idx="3">
                  <c:v>5752</c:v>
                </c:pt>
                <c:pt idx="4">
                  <c:v>8729</c:v>
                </c:pt>
                <c:pt idx="5">
                  <c:v>9432</c:v>
                </c:pt>
                <c:pt idx="6">
                  <c:v>5590</c:v>
                </c:pt>
                <c:pt idx="7">
                  <c:v>5743</c:v>
                </c:pt>
                <c:pt idx="8">
                  <c:v>1639</c:v>
                </c:pt>
                <c:pt idx="9">
                  <c:v>7501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D75-464D-95C1-2C21ABFAC9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16057272"/>
        <c:axId val="516057600"/>
      </c:barChart>
      <c:catAx>
        <c:axId val="516057272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057600"/>
        <c:crosses val="autoZero"/>
        <c:auto val="1"/>
        <c:lblAlgn val="ctr"/>
        <c:lblOffset val="100"/>
        <c:noMultiLvlLbl val="0"/>
      </c:catAx>
      <c:valAx>
        <c:axId val="516057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;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057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2678288431061807E-2"/>
          <c:y val="5.0925925925925923E-2"/>
          <c:w val="0.9640781827786582"/>
          <c:h val="0.8416746864975212"/>
        </c:manualLayout>
      </c:layout>
      <c:lineChart>
        <c:grouping val="standard"/>
        <c:varyColors val="0"/>
        <c:ser>
          <c:idx val="0"/>
          <c:order val="0"/>
          <c:tx>
            <c:strRef>
              <c:f>'Income statement'!$A$28</c:f>
              <c:strCache>
                <c:ptCount val="1"/>
                <c:pt idx="0">
                  <c:v>Earnings/(loss) per share of common stock
Assuming dilution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3"/>
              <c:layout>
                <c:manualLayout>
                  <c:x val="-3.9693205016039665E-2"/>
                  <c:y val="4.864574219889172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B36-4F26-AF23-7F1A88F9E1F3}"/>
                </c:ext>
              </c:extLst>
            </c:dLbl>
            <c:dLbl>
              <c:idx val="6"/>
              <c:layout>
                <c:manualLayout>
                  <c:x val="-3.7576802899637544E-2"/>
                  <c:y val="4.864574219889180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B36-4F26-AF23-7F1A88F9E1F3}"/>
                </c:ext>
              </c:extLst>
            </c:dLbl>
            <c:dLbl>
              <c:idx val="7"/>
              <c:layout>
                <c:manualLayout>
                  <c:x val="-3.9693205016039818E-2"/>
                  <c:y val="-4.39468503937007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B36-4F26-AF23-7F1A88F9E1F3}"/>
                </c:ext>
              </c:extLst>
            </c:dLbl>
            <c:dLbl>
              <c:idx val="8"/>
              <c:layout>
                <c:manualLayout>
                  <c:x val="-3.9693205016039818E-2"/>
                  <c:y val="4.401611256926217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4B36-4F26-AF23-7F1A88F9E1F3}"/>
                </c:ext>
              </c:extLst>
            </c:dLbl>
            <c:numFmt formatCode="[$$-409]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'Income statement'!$B$2:$K$2</c:f>
              <c:numCache>
                <c:formatCode>0</c:formatCode>
                <c:ptCount val="10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</c:numCache>
            </c:numRef>
          </c:cat>
          <c:val>
            <c:numRef>
              <c:f>'Income statement'!$B$35:$K$35</c:f>
              <c:numCache>
                <c:formatCode>#,##0.00;\(#,##0.00\)</c:formatCode>
                <c:ptCount val="10"/>
                <c:pt idx="0">
                  <c:v>11.97</c:v>
                </c:pt>
                <c:pt idx="1">
                  <c:v>13.48</c:v>
                </c:pt>
                <c:pt idx="2">
                  <c:v>12.43</c:v>
                </c:pt>
                <c:pt idx="3">
                  <c:v>6.17</c:v>
                </c:pt>
                <c:pt idx="4">
                  <c:v>9.57</c:v>
                </c:pt>
                <c:pt idx="5">
                  <c:v>10.63</c:v>
                </c:pt>
                <c:pt idx="6">
                  <c:v>6.28</c:v>
                </c:pt>
                <c:pt idx="7">
                  <c:v>6.41</c:v>
                </c:pt>
                <c:pt idx="8">
                  <c:v>1.82</c:v>
                </c:pt>
                <c:pt idx="9">
                  <c:v>8.23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36-4F26-AF23-7F1A88F9E1F3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466464360"/>
        <c:axId val="466464688"/>
      </c:lineChart>
      <c:catAx>
        <c:axId val="466464360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464688"/>
        <c:crosses val="autoZero"/>
        <c:auto val="1"/>
        <c:lblAlgn val="ctr"/>
        <c:lblOffset val="100"/>
        <c:noMultiLvlLbl val="0"/>
      </c:catAx>
      <c:valAx>
        <c:axId val="466464688"/>
        <c:scaling>
          <c:orientation val="minMax"/>
        </c:scaling>
        <c:delete val="1"/>
        <c:axPos val="l"/>
        <c:numFmt formatCode="#,##0.00;\(#,##0.00\)" sourceLinked="1"/>
        <c:majorTickMark val="none"/>
        <c:minorTickMark val="none"/>
        <c:tickLblPos val="nextTo"/>
        <c:crossAx val="466464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4516129032258064E-3"/>
          <c:y val="5.0925925925925923E-2"/>
          <c:w val="0.989247311827957"/>
          <c:h val="0.8416746864975212"/>
        </c:manualLayout>
      </c:layout>
      <c:lineChart>
        <c:grouping val="standard"/>
        <c:varyColors val="0"/>
        <c:ser>
          <c:idx val="0"/>
          <c:order val="0"/>
          <c:tx>
            <c:strRef>
              <c:f>'Income statement'!$A$31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3"/>
              <c:layout>
                <c:manualLayout>
                  <c:x val="-4.0333418000169333E-2"/>
                  <c:y val="5.327537182852143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4161-4025-B1A2-91A3048083F1}"/>
                </c:ext>
              </c:extLst>
            </c:dLbl>
            <c:dLbl>
              <c:idx val="6"/>
              <c:layout>
                <c:manualLayout>
                  <c:x val="-4.0333418000169416E-2"/>
                  <c:y val="4.864574219889180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161-4025-B1A2-91A3048083F1}"/>
                </c:ext>
              </c:extLst>
            </c:dLbl>
            <c:dLbl>
              <c:idx val="7"/>
              <c:layout>
                <c:manualLayout>
                  <c:x val="-3.818288036576073E-2"/>
                  <c:y val="-4.857648002333050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161-4025-B1A2-91A3048083F1}"/>
                </c:ext>
              </c:extLst>
            </c:dLbl>
            <c:dLbl>
              <c:idx val="8"/>
              <c:layout>
                <c:manualLayout>
                  <c:x val="-4.0333418000169333E-2"/>
                  <c:y val="3.938648293963254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161-4025-B1A2-91A3048083F1}"/>
                </c:ext>
              </c:extLst>
            </c:dLbl>
            <c:numFmt formatCode="[$$-409]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'Income statement'!$B$2:$K$2</c:f>
              <c:numCache>
                <c:formatCode>0</c:formatCode>
                <c:ptCount val="10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</c:numCache>
            </c:numRef>
          </c:cat>
          <c:val>
            <c:numRef>
              <c:f>'Income statement'!$B$31:$K$31</c:f>
              <c:numCache>
                <c:formatCode>#,##0.00;\(#,##0.00\)</c:formatCode>
                <c:ptCount val="10"/>
                <c:pt idx="0">
                  <c:v>11.9</c:v>
                </c:pt>
                <c:pt idx="1">
                  <c:v>13.42</c:v>
                </c:pt>
                <c:pt idx="2">
                  <c:v>12.38</c:v>
                </c:pt>
                <c:pt idx="3">
                  <c:v>6.14</c:v>
                </c:pt>
                <c:pt idx="4">
                  <c:v>9.52</c:v>
                </c:pt>
                <c:pt idx="5">
                  <c:v>10.56</c:v>
                </c:pt>
                <c:pt idx="6">
                  <c:v>6.23</c:v>
                </c:pt>
                <c:pt idx="7">
                  <c:v>6.35</c:v>
                </c:pt>
                <c:pt idx="8">
                  <c:v>1.8</c:v>
                </c:pt>
                <c:pt idx="9">
                  <c:v>8.14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61-4025-B1A2-91A3048083F1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459889576"/>
        <c:axId val="459891872"/>
      </c:lineChart>
      <c:catAx>
        <c:axId val="45988957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891872"/>
        <c:crosses val="autoZero"/>
        <c:auto val="1"/>
        <c:lblAlgn val="ctr"/>
        <c:lblOffset val="100"/>
        <c:noMultiLvlLbl val="0"/>
      </c:catAx>
      <c:valAx>
        <c:axId val="459891872"/>
        <c:scaling>
          <c:orientation val="minMax"/>
        </c:scaling>
        <c:delete val="1"/>
        <c:axPos val="l"/>
        <c:numFmt formatCode="#,##0.00;\(#,##0.00\)" sourceLinked="1"/>
        <c:majorTickMark val="none"/>
        <c:minorTickMark val="none"/>
        <c:tickLblPos val="nextTo"/>
        <c:crossAx val="459889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3635597093975986E-2"/>
          <c:y val="0.15682925051035287"/>
          <c:w val="0.90168934807265699"/>
          <c:h val="0.7357713619130942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'Comprehensive Income statement'!$A$24</c:f>
              <c:strCache>
                <c:ptCount val="1"/>
                <c:pt idx="0">
                  <c:v>Total comprehensive income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'Comprehensive Income statement'!$B$2:$K$2</c:f>
              <c:numCache>
                <c:formatCode>0</c:formatCode>
                <c:ptCount val="10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</c:numCache>
            </c:numRef>
          </c:cat>
          <c:val>
            <c:numRef>
              <c:f>'Comprehensive Income statement'!$B$24:$K$24</c:f>
              <c:numCache>
                <c:formatCode>#,##0;\(#,##0\)</c:formatCode>
                <c:ptCount val="10"/>
                <c:pt idx="0">
                  <c:v>5750</c:v>
                </c:pt>
                <c:pt idx="1">
                  <c:v>11460</c:v>
                </c:pt>
                <c:pt idx="2">
                  <c:v>12082</c:v>
                </c:pt>
                <c:pt idx="3">
                  <c:v>8558</c:v>
                </c:pt>
                <c:pt idx="4">
                  <c:v>8252</c:v>
                </c:pt>
                <c:pt idx="5">
                  <c:v>10325</c:v>
                </c:pt>
                <c:pt idx="6">
                  <c:v>4850</c:v>
                </c:pt>
                <c:pt idx="7">
                  <c:v>10582</c:v>
                </c:pt>
                <c:pt idx="8">
                  <c:v>8133</c:v>
                </c:pt>
                <c:pt idx="9">
                  <c:v>5480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D6-4515-A83A-A53568195A7A}"/>
            </c:ext>
          </c:extLst>
        </c:ser>
        <c:ser>
          <c:idx val="1"/>
          <c:order val="1"/>
          <c:tx>
            <c:strRef>
              <c:f>'Comprehensive Income statement'!$A$3</c:f>
              <c:strCache>
                <c:ptCount val="1"/>
                <c:pt idx="0">
                  <c:v>Net income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'Comprehensive Income statement'!$B$2:$K$2</c:f>
              <c:numCache>
                <c:formatCode>0</c:formatCode>
                <c:ptCount val="10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</c:numCache>
            </c:numRef>
          </c:cat>
          <c:val>
            <c:numRef>
              <c:f>'Comprehensive Income statement'!$B$3:$K$3</c:f>
              <c:numCache>
                <c:formatCode>#,##0;\(#,##0\)</c:formatCode>
                <c:ptCount val="10"/>
                <c:pt idx="0">
                  <c:v>12023</c:v>
                </c:pt>
                <c:pt idx="1">
                  <c:v>13191</c:v>
                </c:pt>
                <c:pt idx="2">
                  <c:v>11873</c:v>
                </c:pt>
                <c:pt idx="3">
                  <c:v>5752</c:v>
                </c:pt>
                <c:pt idx="4">
                  <c:v>8729</c:v>
                </c:pt>
                <c:pt idx="5">
                  <c:v>9432</c:v>
                </c:pt>
                <c:pt idx="6">
                  <c:v>5590</c:v>
                </c:pt>
                <c:pt idx="7">
                  <c:v>5743</c:v>
                </c:pt>
                <c:pt idx="8">
                  <c:v>1639</c:v>
                </c:pt>
                <c:pt idx="9">
                  <c:v>7501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3D6-4515-A83A-A53568195A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04689336"/>
        <c:axId val="518266680"/>
      </c:barChart>
      <c:catAx>
        <c:axId val="50468933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266680"/>
        <c:crosses val="autoZero"/>
        <c:auto val="1"/>
        <c:lblAlgn val="ctr"/>
        <c:lblOffset val="100"/>
        <c:noMultiLvlLbl val="0"/>
      </c:catAx>
      <c:valAx>
        <c:axId val="518266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;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689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'Balance sheet'!$A$17</c:f>
              <c:strCache>
                <c:ptCount val="1"/>
                <c:pt idx="0">
                  <c:v>Total current assets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 w="19050">
              <a:solidFill>
                <a:schemeClr val="lt1"/>
              </a:solidFill>
            </a:ln>
            <a:effectLst/>
          </c:spPr>
          <c:invertIfNegative val="0"/>
          <c:cat>
            <c:numRef>
              <c:f>'Balance sheet'!$B$2:$K$2</c:f>
              <c:numCache>
                <c:formatCode>0</c:formatCode>
                <c:ptCount val="10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</c:numCache>
            </c:numRef>
          </c:cat>
          <c:val>
            <c:numRef>
              <c:f>'Balance sheet'!$B$17:$K$17</c:f>
              <c:numCache>
                <c:formatCode>#,##0;\(#,##0\)</c:formatCode>
                <c:ptCount val="10"/>
                <c:pt idx="0">
                  <c:v>47377</c:v>
                </c:pt>
                <c:pt idx="1">
                  <c:v>42504</c:v>
                </c:pt>
                <c:pt idx="2">
                  <c:v>43889</c:v>
                </c:pt>
                <c:pt idx="3">
                  <c:v>49735</c:v>
                </c:pt>
                <c:pt idx="4">
                  <c:v>49145</c:v>
                </c:pt>
                <c:pt idx="5">
                  <c:v>38420</c:v>
                </c:pt>
                <c:pt idx="6">
                  <c:v>39165</c:v>
                </c:pt>
                <c:pt idx="7">
                  <c:v>29539</c:v>
                </c:pt>
                <c:pt idx="8">
                  <c:v>29118</c:v>
                </c:pt>
                <c:pt idx="9">
                  <c:v>32909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91-4FB9-9573-3E794E4C65DC}"/>
            </c:ext>
          </c:extLst>
        </c:ser>
        <c:ser>
          <c:idx val="1"/>
          <c:order val="1"/>
          <c:tx>
            <c:strRef>
              <c:f>'Balance sheet'!$A$30</c:f>
              <c:strCache>
                <c:ptCount val="1"/>
                <c:pt idx="0">
                  <c:v>Total non-current assets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dLbl>
              <c:idx val="0"/>
              <c:layout>
                <c:manualLayout>
                  <c:x val="0"/>
                  <c:y val="-0.17129629629629625"/>
                </c:manualLayout>
              </c:layout>
              <c:tx>
                <c:rich>
                  <a:bodyPr/>
                  <a:lstStyle/>
                  <a:p>
                    <a:fld id="{41EDFB8D-7B12-4BB3-8D63-6CC92454CF24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D691-4FB9-9573-3E794E4C65DC}"/>
                </c:ext>
              </c:extLst>
            </c:dLbl>
            <c:dLbl>
              <c:idx val="1"/>
              <c:layout>
                <c:manualLayout>
                  <c:x val="-3.9617766715394468E-17"/>
                  <c:y val="-0.16666666666666666"/>
                </c:manualLayout>
              </c:layout>
              <c:tx>
                <c:rich>
                  <a:bodyPr/>
                  <a:lstStyle/>
                  <a:p>
                    <a:fld id="{99047601-DF0F-4184-955C-3A1A1E9B86F0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D691-4FB9-9573-3E794E4C65DC}"/>
                </c:ext>
              </c:extLst>
            </c:dLbl>
            <c:dLbl>
              <c:idx val="2"/>
              <c:layout>
                <c:manualLayout>
                  <c:x val="-2.160994057266382E-3"/>
                  <c:y val="-0.18518518518518517"/>
                </c:manualLayout>
              </c:layout>
              <c:tx>
                <c:rich>
                  <a:bodyPr/>
                  <a:lstStyle/>
                  <a:p>
                    <a:fld id="{857E8F73-9FDE-4B59-BA2D-1FE93FC13E9B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D691-4FB9-9573-3E794E4C65DC}"/>
                </c:ext>
              </c:extLst>
            </c:dLbl>
            <c:dLbl>
              <c:idx val="3"/>
              <c:layout>
                <c:manualLayout>
                  <c:x val="-4.3219881145326851E-3"/>
                  <c:y val="-0.18518518518518517"/>
                </c:manualLayout>
              </c:layout>
              <c:tx>
                <c:rich>
                  <a:bodyPr/>
                  <a:lstStyle/>
                  <a:p>
                    <a:fld id="{C636FE24-249F-4D7F-A1C9-F1B77A29343E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D691-4FB9-9573-3E794E4C65DC}"/>
                </c:ext>
              </c:extLst>
            </c:dLbl>
            <c:dLbl>
              <c:idx val="4"/>
              <c:layout>
                <c:manualLayout>
                  <c:x val="0"/>
                  <c:y val="-0.18518518518518517"/>
                </c:manualLayout>
              </c:layout>
              <c:tx>
                <c:rich>
                  <a:bodyPr/>
                  <a:lstStyle/>
                  <a:p>
                    <a:fld id="{21B6727B-092C-4954-8382-1CF421359D57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D691-4FB9-9573-3E794E4C65DC}"/>
                </c:ext>
              </c:extLst>
            </c:dLbl>
            <c:dLbl>
              <c:idx val="5"/>
              <c:layout>
                <c:manualLayout>
                  <c:x val="-7.9235533430788936E-17"/>
                  <c:y val="-0.25925925925925924"/>
                </c:manualLayout>
              </c:layout>
              <c:tx>
                <c:rich>
                  <a:bodyPr/>
                  <a:lstStyle/>
                  <a:p>
                    <a:fld id="{DBDABC94-C815-40D4-80F7-0578A4E442E8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D691-4FB9-9573-3E794E4C65DC}"/>
                </c:ext>
              </c:extLst>
            </c:dLbl>
            <c:dLbl>
              <c:idx val="6"/>
              <c:layout>
                <c:manualLayout>
                  <c:x val="-1.5847106686157787E-16"/>
                  <c:y val="-0.26851851851851855"/>
                </c:manualLayout>
              </c:layout>
              <c:tx>
                <c:rich>
                  <a:bodyPr/>
                  <a:lstStyle/>
                  <a:p>
                    <a:fld id="{3758FAC3-C964-4D6C-B4DB-80AE3BA5BE5D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D691-4FB9-9573-3E794E4C65DC}"/>
                </c:ext>
              </c:extLst>
            </c:dLbl>
            <c:dLbl>
              <c:idx val="7"/>
              <c:layout>
                <c:manualLayout>
                  <c:x val="-1.0804970286331712E-2"/>
                  <c:y val="-0.24537037037037041"/>
                </c:manualLayout>
              </c:layout>
              <c:tx>
                <c:rich>
                  <a:bodyPr/>
                  <a:lstStyle/>
                  <a:p>
                    <a:fld id="{DB93C566-F4E0-4B2D-8873-3CE41C9628E4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D691-4FB9-9573-3E794E4C65DC}"/>
                </c:ext>
              </c:extLst>
            </c:dLbl>
            <c:dLbl>
              <c:idx val="8"/>
              <c:layout>
                <c:manualLayout>
                  <c:x val="0"/>
                  <c:y val="-0.24074074074074078"/>
                </c:manualLayout>
              </c:layout>
              <c:tx>
                <c:rich>
                  <a:bodyPr/>
                  <a:lstStyle/>
                  <a:p>
                    <a:fld id="{01429FF6-B35B-49B9-B629-EED93773F4F7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D691-4FB9-9573-3E794E4C65DC}"/>
                </c:ext>
              </c:extLst>
            </c:dLbl>
            <c:dLbl>
              <c:idx val="9"/>
              <c:layout>
                <c:manualLayout>
                  <c:x val="2.1609940572663426E-3"/>
                  <c:y val="-0.24074074074074078"/>
                </c:manualLayout>
              </c:layout>
              <c:tx>
                <c:rich>
                  <a:bodyPr/>
                  <a:lstStyle/>
                  <a:p>
                    <a:fld id="{3049E397-251C-4CFE-BC15-ED56C41CF092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D691-4FB9-9573-3E794E4C65DC}"/>
                </c:ext>
              </c:extLst>
            </c:dLbl>
            <c:spPr>
              <a:solidFill>
                <a:sysClr val="window" lastClr="FFFFFF"/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DataLabelsRange val="1"/>
                <c15:showLeaderLines val="0"/>
              </c:ext>
            </c:extLst>
          </c:dLbls>
          <c:cat>
            <c:numRef>
              <c:f>'Balance sheet'!$B$2:$K$2</c:f>
              <c:numCache>
                <c:formatCode>0</c:formatCode>
                <c:ptCount val="10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</c:numCache>
            </c:numRef>
          </c:cat>
          <c:val>
            <c:numRef>
              <c:f>'Balance sheet'!$B$30:$K$30</c:f>
              <c:numCache>
                <c:formatCode>#,##0;\(#,##0\)</c:formatCode>
                <c:ptCount val="10"/>
                <c:pt idx="0">
                  <c:v>69895</c:v>
                </c:pt>
                <c:pt idx="1">
                  <c:v>67991</c:v>
                </c:pt>
                <c:pt idx="2">
                  <c:v>73581</c:v>
                </c:pt>
                <c:pt idx="3">
                  <c:v>75620</c:v>
                </c:pt>
                <c:pt idx="4">
                  <c:v>74236</c:v>
                </c:pt>
                <c:pt idx="5">
                  <c:v>113767</c:v>
                </c:pt>
                <c:pt idx="6">
                  <c:v>116806</c:v>
                </c:pt>
                <c:pt idx="7">
                  <c:v>102462</c:v>
                </c:pt>
                <c:pt idx="8">
                  <c:v>98125</c:v>
                </c:pt>
                <c:pt idx="9">
                  <c:v>102331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'Balance sheet'!$B$31:$K$31</c15:f>
                <c15:dlblRangeCache>
                  <c:ptCount val="10"/>
                  <c:pt idx="0">
                    <c:v>1,17,272</c:v>
                  </c:pt>
                  <c:pt idx="1">
                    <c:v>1,10,495</c:v>
                  </c:pt>
                  <c:pt idx="2">
                    <c:v>1,17,470</c:v>
                  </c:pt>
                  <c:pt idx="3">
                    <c:v>1,25,355</c:v>
                  </c:pt>
                  <c:pt idx="4">
                    <c:v>1,23,381</c:v>
                  </c:pt>
                  <c:pt idx="5">
                    <c:v>1,52,187</c:v>
                  </c:pt>
                  <c:pt idx="6">
                    <c:v>1,55,971</c:v>
                  </c:pt>
                  <c:pt idx="7">
                    <c:v>1,32,001</c:v>
                  </c:pt>
                  <c:pt idx="8">
                    <c:v>1,27,243</c:v>
                  </c:pt>
                  <c:pt idx="9">
                    <c:v>1,35,240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1-D691-4FB9-9573-3E794E4C65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2"/>
        <c:overlap val="100"/>
        <c:axId val="563621768"/>
        <c:axId val="563619800"/>
      </c:barChart>
      <c:catAx>
        <c:axId val="563621768"/>
        <c:scaling>
          <c:orientation val="minMax"/>
        </c:scaling>
        <c:delete val="0"/>
        <c:axPos val="b"/>
        <c:numFmt formatCode="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619800"/>
        <c:crosses val="autoZero"/>
        <c:auto val="1"/>
        <c:lblAlgn val="ctr"/>
        <c:lblOffset val="100"/>
        <c:noMultiLvlLbl val="0"/>
      </c:catAx>
      <c:valAx>
        <c:axId val="563619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;\(#,##0\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621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'Balance sheet'!$A$60</c:f>
              <c:strCache>
                <c:ptCount val="1"/>
                <c:pt idx="0">
                  <c:v>Total equity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'Balance sheet'!$B$2:$K$2</c:f>
              <c:numCache>
                <c:formatCode>0</c:formatCode>
                <c:ptCount val="10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</c:numCache>
            </c:numRef>
          </c:cat>
          <c:val>
            <c:numRef>
              <c:f>'Balance sheet'!$B$60:$K$60</c:f>
              <c:numCache>
                <c:formatCode>#,##0;\(#,##0\)</c:formatCode>
                <c:ptCount val="10"/>
                <c:pt idx="0">
                  <c:v>12015</c:v>
                </c:pt>
                <c:pt idx="1">
                  <c:v>14423</c:v>
                </c:pt>
                <c:pt idx="2">
                  <c:v>18392</c:v>
                </c:pt>
                <c:pt idx="3">
                  <c:v>17724</c:v>
                </c:pt>
                <c:pt idx="4">
                  <c:v>16929</c:v>
                </c:pt>
                <c:pt idx="5">
                  <c:v>20985</c:v>
                </c:pt>
                <c:pt idx="6">
                  <c:v>20726</c:v>
                </c:pt>
                <c:pt idx="7">
                  <c:v>18996</c:v>
                </c:pt>
                <c:pt idx="8">
                  <c:v>22021</c:v>
                </c:pt>
                <c:pt idx="9">
                  <c:v>22614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77-4C2C-BC49-C00CC1468DAB}"/>
            </c:ext>
          </c:extLst>
        </c:ser>
        <c:ser>
          <c:idx val="1"/>
          <c:order val="1"/>
          <c:tx>
            <c:strRef>
              <c:f>'Balance sheet'!$A$50</c:f>
              <c:strCache>
                <c:ptCount val="1"/>
                <c:pt idx="0">
                  <c:v>Total liabilities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1.9430971433544026E-17"/>
                  <c:y val="-0.24537037037037038"/>
                </c:manualLayout>
              </c:layout>
              <c:tx>
                <c:rich>
                  <a:bodyPr/>
                  <a:lstStyle/>
                  <a:p>
                    <a:fld id="{095E233D-0C01-4A45-8532-26123DE43984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8F77-4C2C-BC49-C00CC1468DAB}"/>
                </c:ext>
              </c:extLst>
            </c:dLbl>
            <c:dLbl>
              <c:idx val="1"/>
              <c:layout>
                <c:manualLayout>
                  <c:x val="-2.1197668256491787E-3"/>
                  <c:y val="-0.22685185185185186"/>
                </c:manualLayout>
              </c:layout>
              <c:tx>
                <c:rich>
                  <a:bodyPr/>
                  <a:lstStyle/>
                  <a:p>
                    <a:fld id="{73CE8DEB-BDE7-4A54-8564-B7E85128FA88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8F77-4C2C-BC49-C00CC1468DAB}"/>
                </c:ext>
              </c:extLst>
            </c:dLbl>
            <c:dLbl>
              <c:idx val="2"/>
              <c:layout>
                <c:manualLayout>
                  <c:x val="-2.1197668256492173E-3"/>
                  <c:y val="-0.23611111111111116"/>
                </c:manualLayout>
              </c:layout>
              <c:tx>
                <c:rich>
                  <a:bodyPr/>
                  <a:lstStyle/>
                  <a:p>
                    <a:fld id="{0998C7F5-3E0F-4684-93BC-905760406D73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8F77-4C2C-BC49-C00CC1468DAB}"/>
                </c:ext>
              </c:extLst>
            </c:dLbl>
            <c:dLbl>
              <c:idx val="3"/>
              <c:layout>
                <c:manualLayout>
                  <c:x val="-2.1197668256491787E-3"/>
                  <c:y val="-0.25000000000000006"/>
                </c:manualLayout>
              </c:layout>
              <c:tx>
                <c:rich>
                  <a:bodyPr/>
                  <a:lstStyle/>
                  <a:p>
                    <a:fld id="{4341A88C-6A56-45FD-9C08-4067E17BEA8E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8F77-4C2C-BC49-C00CC1468DAB}"/>
                </c:ext>
              </c:extLst>
            </c:dLbl>
            <c:dLbl>
              <c:idx val="4"/>
              <c:layout>
                <c:manualLayout>
                  <c:x val="-2.1197668256492564E-3"/>
                  <c:y val="-0.25"/>
                </c:manualLayout>
              </c:layout>
              <c:tx>
                <c:rich>
                  <a:bodyPr/>
                  <a:lstStyle/>
                  <a:p>
                    <a:fld id="{DCA3C427-5328-47BD-A71E-464A851600F3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8F77-4C2C-BC49-C00CC1468DAB}"/>
                </c:ext>
              </c:extLst>
            </c:dLbl>
            <c:dLbl>
              <c:idx val="5"/>
              <c:layout>
                <c:manualLayout>
                  <c:x val="-2.1197668256492564E-3"/>
                  <c:y val="-0.29629629629629628"/>
                </c:manualLayout>
              </c:layout>
              <c:tx>
                <c:rich>
                  <a:bodyPr/>
                  <a:lstStyle/>
                  <a:p>
                    <a:fld id="{990EEF7A-2B6E-4E33-A4DB-456CC03BE60C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8F77-4C2C-BC49-C00CC1468DAB}"/>
                </c:ext>
              </c:extLst>
            </c:dLbl>
            <c:dLbl>
              <c:idx val="6"/>
              <c:layout>
                <c:manualLayout>
                  <c:x val="7.7723885734176105E-17"/>
                  <c:y val="-0.31018518518518523"/>
                </c:manualLayout>
              </c:layout>
              <c:tx>
                <c:rich>
                  <a:bodyPr/>
                  <a:lstStyle/>
                  <a:p>
                    <a:fld id="{3A6CC13D-A792-4EBE-8AC8-CCE57F0A0116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8F77-4C2C-BC49-C00CC1468DAB}"/>
                </c:ext>
              </c:extLst>
            </c:dLbl>
            <c:dLbl>
              <c:idx val="7"/>
              <c:layout>
                <c:manualLayout>
                  <c:x val="0"/>
                  <c:y val="-0.26388888888888895"/>
                </c:manualLayout>
              </c:layout>
              <c:tx>
                <c:rich>
                  <a:bodyPr/>
                  <a:lstStyle/>
                  <a:p>
                    <a:fld id="{C10EFD62-12B9-4699-9A3B-0A81A860AB7D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8F77-4C2C-BC49-C00CC1468DAB}"/>
                </c:ext>
              </c:extLst>
            </c:dLbl>
            <c:dLbl>
              <c:idx val="8"/>
              <c:layout>
                <c:manualLayout>
                  <c:x val="0"/>
                  <c:y val="-0.25000000000000006"/>
                </c:manualLayout>
              </c:layout>
              <c:tx>
                <c:rich>
                  <a:bodyPr/>
                  <a:lstStyle/>
                  <a:p>
                    <a:fld id="{0FEC282E-231F-4735-AEFD-71539D3B5B78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8F77-4C2C-BC49-C00CC1468DAB}"/>
                </c:ext>
              </c:extLst>
            </c:dLbl>
            <c:dLbl>
              <c:idx val="9"/>
              <c:layout>
                <c:manualLayout>
                  <c:x val="0"/>
                  <c:y val="-0.2638888888888889"/>
                </c:manualLayout>
              </c:layout>
              <c:tx>
                <c:rich>
                  <a:bodyPr/>
                  <a:lstStyle/>
                  <a:p>
                    <a:fld id="{F5C149F8-93D4-45AD-980B-4FBE44C6F067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8F77-4C2C-BC49-C00CC1468DA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cat>
            <c:numRef>
              <c:f>'Balance sheet'!$B$2:$K$2</c:f>
              <c:numCache>
                <c:formatCode>0</c:formatCode>
                <c:ptCount val="10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</c:numCache>
            </c:numRef>
          </c:cat>
          <c:val>
            <c:numRef>
              <c:f>'Balance sheet'!$B$50:$K$50</c:f>
              <c:numCache>
                <c:formatCode>#,##0;\(#,##0\)</c:formatCode>
                <c:ptCount val="10"/>
                <c:pt idx="0">
                  <c:v>105257</c:v>
                </c:pt>
                <c:pt idx="1">
                  <c:v>96072</c:v>
                </c:pt>
                <c:pt idx="2">
                  <c:v>99078</c:v>
                </c:pt>
                <c:pt idx="3">
                  <c:v>107631</c:v>
                </c:pt>
                <c:pt idx="4">
                  <c:v>106452</c:v>
                </c:pt>
                <c:pt idx="5">
                  <c:v>131202</c:v>
                </c:pt>
                <c:pt idx="6">
                  <c:v>135245</c:v>
                </c:pt>
                <c:pt idx="7">
                  <c:v>113005</c:v>
                </c:pt>
                <c:pt idx="8">
                  <c:v>105222</c:v>
                </c:pt>
                <c:pt idx="9">
                  <c:v>112626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'Balance sheet'!$B$61:$K$61</c15:f>
                <c15:dlblRangeCache>
                  <c:ptCount val="10"/>
                  <c:pt idx="0">
                    <c:v>1,17,272</c:v>
                  </c:pt>
                  <c:pt idx="1">
                    <c:v>1,10,495</c:v>
                  </c:pt>
                  <c:pt idx="2">
                    <c:v>1,17,470</c:v>
                  </c:pt>
                  <c:pt idx="3">
                    <c:v>1,25,355</c:v>
                  </c:pt>
                  <c:pt idx="4">
                    <c:v>1,23,381</c:v>
                  </c:pt>
                  <c:pt idx="5">
                    <c:v>1,52,187</c:v>
                  </c:pt>
                  <c:pt idx="6">
                    <c:v>1,55,971</c:v>
                  </c:pt>
                  <c:pt idx="7">
                    <c:v>1,32,001</c:v>
                  </c:pt>
                  <c:pt idx="8">
                    <c:v>1,27,243</c:v>
                  </c:pt>
                  <c:pt idx="9">
                    <c:v>1,35,240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1-8F77-4C2C-BC49-C00CC1468DA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92"/>
        <c:overlap val="100"/>
        <c:axId val="510861656"/>
        <c:axId val="510863296"/>
      </c:barChart>
      <c:catAx>
        <c:axId val="51086165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863296"/>
        <c:crosses val="autoZero"/>
        <c:auto val="1"/>
        <c:lblAlgn val="ctr"/>
        <c:lblOffset val="100"/>
        <c:noMultiLvlLbl val="0"/>
      </c:catAx>
      <c:valAx>
        <c:axId val="510863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;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861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'Cash flow statement'!$A$40</c:f>
              <c:strCache>
                <c:ptCount val="1"/>
                <c:pt idx="0">
                  <c:v>Net cash used in financing activities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'Cash flow statement'!$B$2:$K$2</c:f>
              <c:numCache>
                <c:formatCode>General</c:formatCode>
                <c:ptCount val="10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</c:numCache>
            </c:numRef>
          </c:cat>
          <c:val>
            <c:numRef>
              <c:f>'Cash flow statement'!$B$40:$K$40</c:f>
              <c:numCache>
                <c:formatCode>#,##0;\(#,##0\)</c:formatCode>
                <c:ptCount val="10"/>
                <c:pt idx="0">
                  <c:v>-15452</c:v>
                </c:pt>
                <c:pt idx="1">
                  <c:v>-9413</c:v>
                </c:pt>
                <c:pt idx="2">
                  <c:v>-5725</c:v>
                </c:pt>
                <c:pt idx="3">
                  <c:v>-6417</c:v>
                </c:pt>
                <c:pt idx="4">
                  <c:v>-10470</c:v>
                </c:pt>
                <c:pt idx="5">
                  <c:v>9043</c:v>
                </c:pt>
                <c:pt idx="6">
                  <c:v>-9721</c:v>
                </c:pt>
                <c:pt idx="7">
                  <c:v>-13354</c:v>
                </c:pt>
                <c:pt idx="8">
                  <c:v>-4958</c:v>
                </c:pt>
                <c:pt idx="9">
                  <c:v>-1769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DB-4613-B580-DC2217904C56}"/>
            </c:ext>
          </c:extLst>
        </c:ser>
        <c:ser>
          <c:idx val="1"/>
          <c:order val="1"/>
          <c:tx>
            <c:strRef>
              <c:f>'Cash flow statement'!$A$29</c:f>
              <c:strCache>
                <c:ptCount val="1"/>
                <c:pt idx="0">
                  <c:v>Net cash used in investing activities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 w="25400">
              <a:noFill/>
            </a:ln>
            <a:effectLst/>
          </c:spPr>
          <c:invertIfNegative val="0"/>
          <c:cat>
            <c:numRef>
              <c:f>'Cash flow statement'!$B$2:$K$2</c:f>
              <c:numCache>
                <c:formatCode>General</c:formatCode>
                <c:ptCount val="10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</c:numCache>
            </c:numRef>
          </c:cat>
          <c:val>
            <c:numRef>
              <c:f>'Cash flow statement'!$B$29:$K$29</c:f>
              <c:numCache>
                <c:formatCode>#,##0;\(#,##0\)</c:formatCode>
                <c:ptCount val="10"/>
                <c:pt idx="0">
                  <c:v>-3001</c:v>
                </c:pt>
                <c:pt idx="1">
                  <c:v>-8160</c:v>
                </c:pt>
                <c:pt idx="2">
                  <c:v>-10928</c:v>
                </c:pt>
                <c:pt idx="3">
                  <c:v>-7081</c:v>
                </c:pt>
                <c:pt idx="4">
                  <c:v>-4912</c:v>
                </c:pt>
                <c:pt idx="5">
                  <c:v>-26936</c:v>
                </c:pt>
                <c:pt idx="6">
                  <c:v>-3028</c:v>
                </c:pt>
                <c:pt idx="7">
                  <c:v>-5974</c:v>
                </c:pt>
                <c:pt idx="8">
                  <c:v>-4202</c:v>
                </c:pt>
                <c:pt idx="9">
                  <c:v>-7071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5DB-4613-B580-DC2217904C56}"/>
            </c:ext>
          </c:extLst>
        </c:ser>
        <c:ser>
          <c:idx val="2"/>
          <c:order val="2"/>
          <c:tx>
            <c:strRef>
              <c:f>'Cash flow statement'!$A$19</c:f>
              <c:strCache>
                <c:ptCount val="1"/>
                <c:pt idx="0">
                  <c:v>Net cash provided by operating activities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 w="25400">
              <a:noFill/>
            </a:ln>
            <a:effectLst/>
          </c:spPr>
          <c:invertIfNegative val="0"/>
          <c:cat>
            <c:numRef>
              <c:f>'Cash flow statement'!$B$2:$K$2</c:f>
              <c:numCache>
                <c:formatCode>General</c:formatCode>
                <c:ptCount val="10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</c:numCache>
            </c:numRef>
          </c:cat>
          <c:val>
            <c:numRef>
              <c:f>'Cash flow statement'!$B$19:$K$19</c:f>
              <c:numCache>
                <c:formatCode>#,##0;\(#,##0\)</c:formatCode>
                <c:ptCount val="10"/>
                <c:pt idx="0">
                  <c:v>16870</c:v>
                </c:pt>
                <c:pt idx="1">
                  <c:v>17257</c:v>
                </c:pt>
                <c:pt idx="2">
                  <c:v>17085</c:v>
                </c:pt>
                <c:pt idx="3">
                  <c:v>16723</c:v>
                </c:pt>
                <c:pt idx="4">
                  <c:v>15249</c:v>
                </c:pt>
                <c:pt idx="5">
                  <c:v>14772</c:v>
                </c:pt>
                <c:pt idx="6">
                  <c:v>18198</c:v>
                </c:pt>
                <c:pt idx="7">
                  <c:v>12796</c:v>
                </c:pt>
                <c:pt idx="8">
                  <c:v>10435</c:v>
                </c:pt>
                <c:pt idx="9">
                  <c:v>13930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5DB-4613-B580-DC2217904C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63667688"/>
        <c:axId val="563665064"/>
      </c:barChart>
      <c:catAx>
        <c:axId val="563667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665064"/>
        <c:crosses val="autoZero"/>
        <c:auto val="1"/>
        <c:lblAlgn val="ctr"/>
        <c:lblOffset val="100"/>
        <c:noMultiLvlLbl val="0"/>
      </c:catAx>
      <c:valAx>
        <c:axId val="563665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;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667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'Charts on Ratio Analysis'!$C$7</c:f>
              <c:strCache>
                <c:ptCount val="1"/>
                <c:pt idx="0">
                  <c:v>Gross Margin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rgbClr val="C00000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numRef>
              <c:f>'Charts on Ratio Analysis'!$D$3:$M$3</c:f>
              <c:numCache>
                <c:formatCode>0</c:formatCode>
                <c:ptCount val="10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</c:numCache>
            </c:numRef>
          </c:cat>
          <c:val>
            <c:numRef>
              <c:f>'Charts on Ratio Analysis'!$D$7:$M$7</c:f>
              <c:numCache>
                <c:formatCode>0.00%</c:formatCode>
                <c:ptCount val="10"/>
                <c:pt idx="0">
                  <c:v>0.50011315508712939</c:v>
                </c:pt>
                <c:pt idx="1">
                  <c:v>0.49772454796799687</c:v>
                </c:pt>
                <c:pt idx="2">
                  <c:v>0.48195695695695695</c:v>
                </c:pt>
                <c:pt idx="3">
                  <c:v>0.46681155940813002</c:v>
                </c:pt>
                <c:pt idx="4">
                  <c:v>0.46408513525398598</c:v>
                </c:pt>
                <c:pt idx="5">
                  <c:v>0.54638389298956924</c:v>
                </c:pt>
                <c:pt idx="6">
                  <c:v>0.5593613512386959</c:v>
                </c:pt>
                <c:pt idx="7">
                  <c:v>0.54900524838276576</c:v>
                </c:pt>
                <c:pt idx="8">
                  <c:v>0.54002973732033699</c:v>
                </c:pt>
                <c:pt idx="9">
                  <c:v>0.55447785321694143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50-4754-9913-73379C63717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57202464"/>
        <c:axId val="457203120"/>
        <c:extLst/>
      </c:lineChart>
      <c:catAx>
        <c:axId val="457202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203120"/>
        <c:crosses val="autoZero"/>
        <c:auto val="1"/>
        <c:lblAlgn val="ctr"/>
        <c:lblOffset val="100"/>
        <c:noMultiLvlLbl val="0"/>
      </c:catAx>
      <c:valAx>
        <c:axId val="457203120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202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'Charts on Ratio Analysis'!$C$8</c:f>
              <c:strCache>
                <c:ptCount val="1"/>
                <c:pt idx="0">
                  <c:v>YoY % change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rgbClr val="C00000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numRef>
              <c:f>'Charts on Ratio Analysis'!$E$3:$M$3</c:f>
              <c:numCache>
                <c:formatCode>0</c:formatCode>
                <c:ptCount val="9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</c:numCache>
            </c:numRef>
          </c:cat>
          <c:val>
            <c:numRef>
              <c:f>'Charts on Ratio Analysis'!$E$8:$M$8</c:f>
              <c:numCache>
                <c:formatCode>0.00%</c:formatCode>
                <c:ptCount val="9"/>
                <c:pt idx="0">
                  <c:v>-4.7761333506941561E-3</c:v>
                </c:pt>
                <c:pt idx="1">
                  <c:v>-3.1679351712533443E-2</c:v>
                </c:pt>
                <c:pt idx="2">
                  <c:v>-3.1424792878712471E-2</c:v>
                </c:pt>
                <c:pt idx="3">
                  <c:v>-5.8405240812821058E-3</c:v>
                </c:pt>
                <c:pt idx="4">
                  <c:v>0.17733547464419974</c:v>
                </c:pt>
                <c:pt idx="5">
                  <c:v>2.3751538827617713E-2</c:v>
                </c:pt>
                <c:pt idx="6">
                  <c:v>-1.8514155175356151E-2</c:v>
                </c:pt>
                <c:pt idx="7">
                  <c:v>-1.6348679887612017E-2</c:v>
                </c:pt>
                <c:pt idx="8">
                  <c:v>2.6754296843534808E-2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20-4969-8601-15E386E6E413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90541264"/>
        <c:axId val="390538312"/>
      </c:lineChart>
      <c:catAx>
        <c:axId val="390541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0538312"/>
        <c:crosses val="autoZero"/>
        <c:auto val="1"/>
        <c:lblAlgn val="ctr"/>
        <c:lblOffset val="100"/>
        <c:noMultiLvlLbl val="0"/>
      </c:catAx>
      <c:valAx>
        <c:axId val="390538312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0541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'Charts on Ratio Analysis'!$C$10</c:f>
              <c:strCache>
                <c:ptCount val="1"/>
                <c:pt idx="0">
                  <c:v>Net Profit Margin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rgbClr val="C00000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numRef>
              <c:f>'Charts on Ratio Analysis'!$D$3:$M$3</c:f>
              <c:numCache>
                <c:formatCode>0</c:formatCode>
                <c:ptCount val="10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</c:numCache>
            </c:numRef>
          </c:cat>
          <c:val>
            <c:numRef>
              <c:f>'Charts on Ratio Analysis'!$D$10:$M$10</c:f>
              <c:numCache>
                <c:formatCode>0.00%</c:formatCode>
                <c:ptCount val="10"/>
                <c:pt idx="0">
                  <c:v>0.12956796310066493</c:v>
                </c:pt>
                <c:pt idx="1">
                  <c:v>0.16137359007609306</c:v>
                </c:pt>
                <c:pt idx="2">
                  <c:v>0.14856106106106107</c:v>
                </c:pt>
                <c:pt idx="3">
                  <c:v>7.2682242636373975E-2</c:v>
                </c:pt>
                <c:pt idx="4">
                  <c:v>0.1096732042567627</c:v>
                </c:pt>
                <c:pt idx="5">
                  <c:v>0.16342655161659217</c:v>
                </c:pt>
                <c:pt idx="6">
                  <c:v>0.10130665651787818</c:v>
                </c:pt>
                <c:pt idx="7">
                  <c:v>0.10013774825199212</c:v>
                </c:pt>
                <c:pt idx="8">
                  <c:v>2.7077482240211465E-2</c:v>
                </c:pt>
                <c:pt idx="9">
                  <c:v>0.12125767862916262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25-4E72-B41D-CB2093E642D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88264792"/>
        <c:axId val="388261512"/>
      </c:lineChart>
      <c:catAx>
        <c:axId val="388264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261512"/>
        <c:crosses val="autoZero"/>
        <c:auto val="1"/>
        <c:lblAlgn val="ctr"/>
        <c:lblOffset val="100"/>
        <c:noMultiLvlLbl val="0"/>
      </c:catAx>
      <c:valAx>
        <c:axId val="388261512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264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'Charts on Ratio Analysis'!$C$11</c:f>
              <c:strCache>
                <c:ptCount val="1"/>
                <c:pt idx="0">
                  <c:v>YoY % change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rgbClr val="C00000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numRef>
              <c:f>'Charts on Ratio Analysis'!$E$3:$M$3</c:f>
              <c:numCache>
                <c:formatCode>0</c:formatCode>
                <c:ptCount val="9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</c:numCache>
            </c:numRef>
          </c:cat>
          <c:val>
            <c:numRef>
              <c:f>'Charts on Ratio Analysis'!$E$11:$M$11</c:f>
              <c:numCache>
                <c:formatCode>0.00%</c:formatCode>
                <c:ptCount val="9"/>
                <c:pt idx="0">
                  <c:v>0.24547446926149075</c:v>
                </c:pt>
                <c:pt idx="1">
                  <c:v>-7.9396690679004234E-2</c:v>
                </c:pt>
                <c:pt idx="2">
                  <c:v>-0.5107584577192783</c:v>
                </c:pt>
                <c:pt idx="3">
                  <c:v>0.50894083999929474</c:v>
                </c:pt>
                <c:pt idx="4">
                  <c:v>0.49012288575050822</c:v>
                </c:pt>
                <c:pt idx="5">
                  <c:v>-0.38010895098888664</c:v>
                </c:pt>
                <c:pt idx="6">
                  <c:v>-1.1538316494334011E-2</c:v>
                </c:pt>
                <c:pt idx="7">
                  <c:v>-0.72959765210545569</c:v>
                </c:pt>
                <c:pt idx="8">
                  <c:v>3.4781740618811554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9D-4212-BA56-BF6B4ADC466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87164880"/>
        <c:axId val="387162912"/>
      </c:lineChart>
      <c:catAx>
        <c:axId val="387164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162912"/>
        <c:crosses val="autoZero"/>
        <c:auto val="1"/>
        <c:lblAlgn val="ctr"/>
        <c:lblOffset val="100"/>
        <c:noMultiLvlLbl val="0"/>
      </c:catAx>
      <c:valAx>
        <c:axId val="387162912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164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'Charts on Ratio Analysis'!$C$13</c:f>
              <c:strCache>
                <c:ptCount val="1"/>
                <c:pt idx="0">
                  <c:v>Return on Assets (ROA)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rgbClr val="C00000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numRef>
              <c:f>'Charts on Ratio Analysis'!$D$3:$M$3</c:f>
              <c:numCache>
                <c:formatCode>0</c:formatCode>
                <c:ptCount val="10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</c:numCache>
            </c:numRef>
          </c:cat>
          <c:val>
            <c:numRef>
              <c:f>'Charts on Ratio Analysis'!$D$13:$M$13</c:f>
              <c:numCache>
                <c:formatCode>0.00%</c:formatCode>
                <c:ptCount val="10"/>
                <c:pt idx="0">
                  <c:v>0.10252234122382155</c:v>
                </c:pt>
                <c:pt idx="1">
                  <c:v>0.11938096746459116</c:v>
                </c:pt>
                <c:pt idx="2">
                  <c:v>0.10107261428449817</c:v>
                </c:pt>
                <c:pt idx="3">
                  <c:v>4.5885684655578157E-2</c:v>
                </c:pt>
                <c:pt idx="4">
                  <c:v>7.0748332401261133E-2</c:v>
                </c:pt>
                <c:pt idx="5">
                  <c:v>6.1976384316663052E-2</c:v>
                </c:pt>
                <c:pt idx="6">
                  <c:v>3.5839995896673096E-2</c:v>
                </c:pt>
                <c:pt idx="7">
                  <c:v>4.3507246157226079E-2</c:v>
                </c:pt>
                <c:pt idx="8">
                  <c:v>1.2880865745070455E-2</c:v>
                </c:pt>
                <c:pt idx="9">
                  <c:v>5.5464359656906242E-2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CE-4D37-B334-9C5975DA262D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70656496"/>
        <c:axId val="370654200"/>
      </c:lineChart>
      <c:catAx>
        <c:axId val="370656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654200"/>
        <c:crosses val="autoZero"/>
        <c:auto val="1"/>
        <c:lblAlgn val="ctr"/>
        <c:lblOffset val="100"/>
        <c:noMultiLvlLbl val="0"/>
      </c:catAx>
      <c:valAx>
        <c:axId val="370654200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656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'Charts on Ratio Analysis'!$C$14</c:f>
              <c:strCache>
                <c:ptCount val="1"/>
                <c:pt idx="0">
                  <c:v>YoY % change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rgbClr val="C00000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numRef>
              <c:f>'Charts on Ratio Analysis'!$E$3:$M$3</c:f>
              <c:numCache>
                <c:formatCode>0</c:formatCode>
                <c:ptCount val="9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</c:numCache>
            </c:numRef>
          </c:cat>
          <c:val>
            <c:numRef>
              <c:f>'Charts on Ratio Analysis'!$E$14:$M$14</c:f>
              <c:numCache>
                <c:formatCode>0.00%</c:formatCode>
                <c:ptCount val="9"/>
                <c:pt idx="0">
                  <c:v>0.16443856080075969</c:v>
                </c:pt>
                <c:pt idx="1">
                  <c:v>-0.15336073721737364</c:v>
                </c:pt>
                <c:pt idx="2">
                  <c:v>-0.54601268622161492</c:v>
                </c:pt>
                <c:pt idx="3">
                  <c:v>0.5418388748539793</c:v>
                </c:pt>
                <c:pt idx="4">
                  <c:v>-0.1239880543734444</c:v>
                </c:pt>
                <c:pt idx="5">
                  <c:v>-0.42171528249289769</c:v>
                </c:pt>
                <c:pt idx="6">
                  <c:v>0.21392999828062775</c:v>
                </c:pt>
                <c:pt idx="7">
                  <c:v>-0.70393746139386293</c:v>
                </c:pt>
                <c:pt idx="8">
                  <c:v>3.3059496740840277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81-4C3E-B054-F03A522FF4D2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83984704"/>
        <c:axId val="383987000"/>
      </c:lineChart>
      <c:catAx>
        <c:axId val="383984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987000"/>
        <c:crosses val="autoZero"/>
        <c:auto val="1"/>
        <c:lblAlgn val="ctr"/>
        <c:lblOffset val="100"/>
        <c:noMultiLvlLbl val="0"/>
      </c:catAx>
      <c:valAx>
        <c:axId val="383987000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984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'Charts on Ratio Analysis'!$C$16</c:f>
              <c:strCache>
                <c:ptCount val="1"/>
                <c:pt idx="0">
                  <c:v>Return on Equity (ROE)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rgbClr val="C00000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numRef>
              <c:f>'Charts on Ratio Analysis'!$D$3:$M$3</c:f>
              <c:numCache>
                <c:formatCode>0</c:formatCode>
                <c:ptCount val="10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</c:numCache>
            </c:numRef>
          </c:cat>
          <c:val>
            <c:numRef>
              <c:f>'Charts on Ratio Analysis'!$D$16:$M$16</c:f>
              <c:numCache>
                <c:formatCode>0.00%</c:formatCode>
                <c:ptCount val="10"/>
                <c:pt idx="0">
                  <c:v>1.0129749768303986</c:v>
                </c:pt>
                <c:pt idx="1">
                  <c:v>0.92497019844330697</c:v>
                </c:pt>
                <c:pt idx="2">
                  <c:v>0.6507179655814973</c:v>
                </c:pt>
                <c:pt idx="3">
                  <c:v>0.32694821804126639</c:v>
                </c:pt>
                <c:pt idx="4">
                  <c:v>0.51973801726704372</c:v>
                </c:pt>
                <c:pt idx="5">
                  <c:v>0.45256945444076579</c:v>
                </c:pt>
                <c:pt idx="6">
                  <c:v>0.27139874739039666</c:v>
                </c:pt>
                <c:pt idx="7">
                  <c:v>0.30384635733559073</c:v>
                </c:pt>
                <c:pt idx="8">
                  <c:v>7.4690120306234051E-2</c:v>
                </c:pt>
                <c:pt idx="9">
                  <c:v>0.33287476701872726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D5-42F6-B46E-F1C2A4146DA6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73322528"/>
        <c:axId val="373321216"/>
      </c:lineChart>
      <c:catAx>
        <c:axId val="373322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3321216"/>
        <c:crosses val="autoZero"/>
        <c:auto val="1"/>
        <c:lblAlgn val="ctr"/>
        <c:lblOffset val="100"/>
        <c:noMultiLvlLbl val="0"/>
      </c:catAx>
      <c:valAx>
        <c:axId val="373321216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3322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'Charts on Ratio Analysis'!$C$17</c:f>
              <c:strCache>
                <c:ptCount val="1"/>
                <c:pt idx="0">
                  <c:v>YoY % change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rgbClr val="C00000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numRef>
              <c:f>'Charts on Ratio Analysis'!$E$3:$M$3</c:f>
              <c:numCache>
                <c:formatCode>0</c:formatCode>
                <c:ptCount val="9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</c:numCache>
            </c:numRef>
          </c:cat>
          <c:val>
            <c:numRef>
              <c:f>'Charts on Ratio Analysis'!$E$17:$M$17</c:f>
              <c:numCache>
                <c:formatCode>0.00%</c:formatCode>
                <c:ptCount val="9"/>
                <c:pt idx="0">
                  <c:v>-8.6877544263194717E-2</c:v>
                </c:pt>
                <c:pt idx="1">
                  <c:v>-0.29649845294839416</c:v>
                </c:pt>
                <c:pt idx="2">
                  <c:v>-0.49755772034187262</c:v>
                </c:pt>
                <c:pt idx="3">
                  <c:v>0.58966462756938465</c:v>
                </c:pt>
                <c:pt idx="4">
                  <c:v>-0.12923542360721019</c:v>
                </c:pt>
                <c:pt idx="5">
                  <c:v>-0.40031580848565984</c:v>
                </c:pt>
                <c:pt idx="6">
                  <c:v>0.11955696279806127</c:v>
                </c:pt>
                <c:pt idx="7">
                  <c:v>-0.75418457880756928</c:v>
                </c:pt>
                <c:pt idx="8">
                  <c:v>3.4567442876503662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50-4FBA-82F7-010CA3E4228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73325152"/>
        <c:axId val="373325808"/>
      </c:lineChart>
      <c:catAx>
        <c:axId val="373325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3325808"/>
        <c:crosses val="autoZero"/>
        <c:auto val="1"/>
        <c:lblAlgn val="ctr"/>
        <c:lblOffset val="100"/>
        <c:noMultiLvlLbl val="0"/>
      </c:catAx>
      <c:valAx>
        <c:axId val="373325808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3325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'Charts on Ratio Analysis'!$C$92</c:f>
              <c:strCache>
                <c:ptCount val="1"/>
                <c:pt idx="0">
                  <c:v>Current Ratio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rgbClr val="C00000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numRef>
              <c:f>'Charts on Ratio Analysis'!$D$3:$M$3</c:f>
              <c:numCache>
                <c:formatCode>0</c:formatCode>
                <c:ptCount val="10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</c:numCache>
            </c:numRef>
          </c:cat>
          <c:val>
            <c:numRef>
              <c:f>'Charts on Ratio Analysis'!$D$92:$M$92</c:f>
              <c:numCache>
                <c:formatCode>0.00</c:formatCode>
                <c:ptCount val="10"/>
                <c:pt idx="0">
                  <c:v>1.19696318940906</c:v>
                </c:pt>
                <c:pt idx="1">
                  <c:v>1.2402684563758388</c:v>
                </c:pt>
                <c:pt idx="2">
                  <c:v>1.2098966230186079</c:v>
                </c:pt>
                <c:pt idx="3">
                  <c:v>1.3311297272702942</c:v>
                </c:pt>
                <c:pt idx="4">
                  <c:v>1.2856096476312553</c:v>
                </c:pt>
                <c:pt idx="5">
                  <c:v>1.0190440825420402</c:v>
                </c:pt>
                <c:pt idx="6">
                  <c:v>0.98234217060874363</c:v>
                </c:pt>
                <c:pt idx="7">
                  <c:v>0.87864005473095574</c:v>
                </c:pt>
                <c:pt idx="8">
                  <c:v>0.924234248531979</c:v>
                </c:pt>
                <c:pt idx="9">
                  <c:v>0.96447935289118136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B3-4CF4-8652-E278D53C896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98844288"/>
        <c:axId val="498853144"/>
      </c:lineChart>
      <c:catAx>
        <c:axId val="498844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853144"/>
        <c:crosses val="autoZero"/>
        <c:auto val="1"/>
        <c:lblAlgn val="ctr"/>
        <c:lblOffset val="100"/>
        <c:noMultiLvlLbl val="0"/>
      </c:catAx>
      <c:valAx>
        <c:axId val="498853144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844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'Charts on Ratio Analysis'!$C$93</c:f>
              <c:strCache>
                <c:ptCount val="1"/>
                <c:pt idx="0">
                  <c:v>YoY % change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rgbClr val="C00000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numRef>
              <c:f>'Charts on Ratio Analysis'!$E$3:$M$3</c:f>
              <c:numCache>
                <c:formatCode>0</c:formatCode>
                <c:ptCount val="9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</c:numCache>
            </c:numRef>
          </c:cat>
          <c:val>
            <c:numRef>
              <c:f>'Charts on Ratio Analysis'!$E$93:$M$93</c:f>
              <c:numCache>
                <c:formatCode>0.00%</c:formatCode>
                <c:ptCount val="9"/>
                <c:pt idx="0">
                  <c:v>3.6179280490788113E-2</c:v>
                </c:pt>
                <c:pt idx="1">
                  <c:v>-2.4488112393005412E-2</c:v>
                </c:pt>
                <c:pt idx="2">
                  <c:v>0.10020120888445683</c:v>
                </c:pt>
                <c:pt idx="3">
                  <c:v>-3.4196576566872694E-2</c:v>
                </c:pt>
                <c:pt idx="4">
                  <c:v>-0.20734564770913477</c:v>
                </c:pt>
                <c:pt idx="5">
                  <c:v>-3.6016019877905925E-2</c:v>
                </c:pt>
                <c:pt idx="6">
                  <c:v>-0.10556618557210584</c:v>
                </c:pt>
                <c:pt idx="7">
                  <c:v>5.1891777020095509E-2</c:v>
                </c:pt>
                <c:pt idx="8">
                  <c:v>4.3544268591135138E-2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36-44EB-B531-F59653903B8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90523088"/>
        <c:axId val="490514888"/>
      </c:lineChart>
      <c:catAx>
        <c:axId val="490523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514888"/>
        <c:crosses val="autoZero"/>
        <c:auto val="1"/>
        <c:lblAlgn val="ctr"/>
        <c:lblOffset val="100"/>
        <c:noMultiLvlLbl val="0"/>
      </c:catAx>
      <c:valAx>
        <c:axId val="490514888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523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'Charts on Ratio Analysis'!$C$95</c:f>
              <c:strCache>
                <c:ptCount val="1"/>
                <c:pt idx="0">
                  <c:v>Quick Ratio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rgbClr val="C00000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numRef>
              <c:f>'Charts on Ratio Analysis'!$D$3:$M$3</c:f>
              <c:numCache>
                <c:formatCode>0</c:formatCode>
                <c:ptCount val="10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</c:numCache>
            </c:numRef>
          </c:cat>
          <c:val>
            <c:numRef>
              <c:f>'Charts on Ratio Analysis'!$D$95:$M$95</c:f>
              <c:numCache>
                <c:formatCode>0.00</c:formatCode>
                <c:ptCount val="10"/>
                <c:pt idx="0">
                  <c:v>1.1438316363911978</c:v>
                </c:pt>
                <c:pt idx="1">
                  <c:v>1.1950102130142983</c:v>
                </c:pt>
                <c:pt idx="2">
                  <c:v>1.1670847691247415</c:v>
                </c:pt>
                <c:pt idx="3">
                  <c:v>1.2887616090785001</c:v>
                </c:pt>
                <c:pt idx="4">
                  <c:v>1.2416093337170062</c:v>
                </c:pt>
                <c:pt idx="5">
                  <c:v>0.97610206355100526</c:v>
                </c:pt>
                <c:pt idx="6">
                  <c:v>0.93689332564147587</c:v>
                </c:pt>
                <c:pt idx="7">
                  <c:v>0.82959041018471702</c:v>
                </c:pt>
                <c:pt idx="8">
                  <c:v>0.87497222663069352</c:v>
                </c:pt>
                <c:pt idx="9">
                  <c:v>0.93045338647753584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7A-4398-9142-46335ECD4484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98758024"/>
        <c:axId val="498759336"/>
      </c:lineChart>
      <c:catAx>
        <c:axId val="498758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759336"/>
        <c:crosses val="autoZero"/>
        <c:auto val="1"/>
        <c:lblAlgn val="ctr"/>
        <c:lblOffset val="100"/>
        <c:noMultiLvlLbl val="0"/>
      </c:catAx>
      <c:valAx>
        <c:axId val="498759336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758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'Charts on Ratio Analysis'!$C$96</c:f>
              <c:strCache>
                <c:ptCount val="1"/>
                <c:pt idx="0">
                  <c:v>YoY % change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rgbClr val="C00000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numRef>
              <c:f>'Charts on Ratio Analysis'!$E$3:$M$3</c:f>
              <c:numCache>
                <c:formatCode>0</c:formatCode>
                <c:ptCount val="9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</c:numCache>
            </c:numRef>
          </c:cat>
          <c:val>
            <c:numRef>
              <c:f>'Charts on Ratio Analysis'!$E$96:$M$96</c:f>
              <c:numCache>
                <c:formatCode>0.00%</c:formatCode>
                <c:ptCount val="9"/>
                <c:pt idx="0">
                  <c:v>4.4743102913790356E-2</c:v>
                </c:pt>
                <c:pt idx="1">
                  <c:v>-2.3368372575760299E-2</c:v>
                </c:pt>
                <c:pt idx="2">
                  <c:v>0.10425707127084749</c:v>
                </c:pt>
                <c:pt idx="3">
                  <c:v>-3.6587274969502759E-2</c:v>
                </c:pt>
                <c:pt idx="4">
                  <c:v>-0.21384123246814823</c:v>
                </c:pt>
                <c:pt idx="5">
                  <c:v>-4.0168686629849071E-2</c:v>
                </c:pt>
                <c:pt idx="6">
                  <c:v>-0.11453055809026103</c:v>
                </c:pt>
                <c:pt idx="7">
                  <c:v>5.4703882649597801E-2</c:v>
                </c:pt>
                <c:pt idx="8">
                  <c:v>6.3409052491285145E-2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F79-45EF-B041-591EF303020E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90426656"/>
        <c:axId val="490420424"/>
      </c:lineChart>
      <c:catAx>
        <c:axId val="490426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420424"/>
        <c:crosses val="autoZero"/>
        <c:auto val="1"/>
        <c:lblAlgn val="ctr"/>
        <c:lblOffset val="100"/>
        <c:noMultiLvlLbl val="0"/>
      </c:catAx>
      <c:valAx>
        <c:axId val="490420424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426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'Charts on Ratio Analysis'!$C$137</c:f>
              <c:strCache>
                <c:ptCount val="1"/>
                <c:pt idx="0">
                  <c:v>Debt to Equity Ratio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rgbClr val="C00000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numRef>
              <c:f>'Charts on Ratio Analysis'!$D$3:$M$3</c:f>
              <c:numCache>
                <c:formatCode>0</c:formatCode>
                <c:ptCount val="10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</c:numCache>
            </c:numRef>
          </c:cat>
          <c:val>
            <c:numRef>
              <c:f>'Charts on Ratio Analysis'!$D$137:$M$137</c:f>
              <c:numCache>
                <c:formatCode>0.00</c:formatCode>
                <c:ptCount val="10"/>
                <c:pt idx="0">
                  <c:v>8.8682281573847845</c:v>
                </c:pt>
                <c:pt idx="1">
                  <c:v>6.7366944814529139</c:v>
                </c:pt>
                <c:pt idx="2">
                  <c:v>5.4301216705031239</c:v>
                </c:pt>
                <c:pt idx="3">
                  <c:v>6.1178309554936625</c:v>
                </c:pt>
                <c:pt idx="4">
                  <c:v>6.3383149746948497</c:v>
                </c:pt>
                <c:pt idx="5">
                  <c:v>6.2953793004174461</c:v>
                </c:pt>
                <c:pt idx="6">
                  <c:v>6.5662475117735593</c:v>
                </c:pt>
                <c:pt idx="7">
                  <c:v>5.9787841913126289</c:v>
                </c:pt>
                <c:pt idx="8">
                  <c:v>4.7950236966824642</c:v>
                </c:pt>
                <c:pt idx="9">
                  <c:v>4.9980473950474842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B1-4C94-9A2D-6011071FB5A1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50755376"/>
        <c:axId val="350752752"/>
      </c:lineChart>
      <c:catAx>
        <c:axId val="350755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0752752"/>
        <c:crosses val="autoZero"/>
        <c:auto val="1"/>
        <c:lblAlgn val="ctr"/>
        <c:lblOffset val="100"/>
        <c:noMultiLvlLbl val="0"/>
      </c:catAx>
      <c:valAx>
        <c:axId val="350752752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0755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'Charts on Ratio Analysis'!$C$138</c:f>
              <c:strCache>
                <c:ptCount val="1"/>
                <c:pt idx="0">
                  <c:v>YoY % change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rgbClr val="C00000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numRef>
              <c:f>'Charts on Ratio Analysis'!$E$3:$M$3</c:f>
              <c:numCache>
                <c:formatCode>0</c:formatCode>
                <c:ptCount val="9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</c:numCache>
            </c:numRef>
          </c:cat>
          <c:val>
            <c:numRef>
              <c:f>'Charts on Ratio Analysis'!$E$138:$M$138</c:f>
              <c:numCache>
                <c:formatCode>0.00%</c:formatCode>
                <c:ptCount val="9"/>
                <c:pt idx="0">
                  <c:v>-0.24035620623460074</c:v>
                </c:pt>
                <c:pt idx="1">
                  <c:v>-0.1939486516045773</c:v>
                </c:pt>
                <c:pt idx="2">
                  <c:v>0.12664712260983646</c:v>
                </c:pt>
                <c:pt idx="3">
                  <c:v>3.6039573634050415E-2</c:v>
                </c:pt>
                <c:pt idx="4">
                  <c:v>-6.7739887413011957E-3</c:v>
                </c:pt>
                <c:pt idx="5">
                  <c:v>4.302651173665617E-2</c:v>
                </c:pt>
                <c:pt idx="6">
                  <c:v>-8.9467130108571769E-2</c:v>
                </c:pt>
                <c:pt idx="7">
                  <c:v>-0.19799351452594793</c:v>
                </c:pt>
                <c:pt idx="8">
                  <c:v>4.2340499486058114E-2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9F-4641-ACB5-FCC9EC3C893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15261744"/>
        <c:axId val="315262072"/>
      </c:lineChart>
      <c:catAx>
        <c:axId val="315261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5262072"/>
        <c:crosses val="autoZero"/>
        <c:auto val="1"/>
        <c:lblAlgn val="ctr"/>
        <c:lblOffset val="100"/>
        <c:noMultiLvlLbl val="0"/>
      </c:catAx>
      <c:valAx>
        <c:axId val="315262072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5261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'Charts on Ratio Analysis'!$C$140</c:f>
              <c:strCache>
                <c:ptCount val="1"/>
                <c:pt idx="0">
                  <c:v>Interest Coverage Ratio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rgbClr val="C00000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numRef>
              <c:f>'Charts on Ratio Analysis'!$D$3:$M$3</c:f>
              <c:numCache>
                <c:formatCode>0</c:formatCode>
                <c:ptCount val="10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</c:numCache>
            </c:numRef>
          </c:cat>
          <c:val>
            <c:numRef>
              <c:f>'Charts on Ratio Analysis'!$D$140:$M$140</c:f>
              <c:numCache>
                <c:formatCode>0.00</c:formatCode>
                <c:ptCount val="10"/>
                <c:pt idx="0">
                  <c:v>36.756198347107436</c:v>
                </c:pt>
                <c:pt idx="1">
                  <c:v>32.068376068376068</c:v>
                </c:pt>
                <c:pt idx="2">
                  <c:v>18.925396825396824</c:v>
                </c:pt>
                <c:pt idx="3">
                  <c:v>18.980487804878049</c:v>
                </c:pt>
                <c:pt idx="4">
                  <c:v>16.863070539419088</c:v>
                </c:pt>
                <c:pt idx="5">
                  <c:v>5.1339285714285712</c:v>
                </c:pt>
                <c:pt idx="6">
                  <c:v>3.1381987577639752</c:v>
                </c:pt>
                <c:pt idx="7">
                  <c:v>5.4138528138528139</c:v>
                </c:pt>
                <c:pt idx="8">
                  <c:v>6.1776315789473681</c:v>
                </c:pt>
                <c:pt idx="9">
                  <c:v>5.3030491599253269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AC-4F5B-BC4F-BBB591C24DF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55287520"/>
        <c:axId val="355288832"/>
      </c:lineChart>
      <c:catAx>
        <c:axId val="355287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5288832"/>
        <c:crosses val="autoZero"/>
        <c:auto val="1"/>
        <c:lblAlgn val="ctr"/>
        <c:lblOffset val="100"/>
        <c:noMultiLvlLbl val="0"/>
      </c:catAx>
      <c:valAx>
        <c:axId val="355288832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5287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'Charts on Ratio Analysis'!$C$141</c:f>
              <c:strCache>
                <c:ptCount val="1"/>
                <c:pt idx="0">
                  <c:v>YoY % change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rgbClr val="C00000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numRef>
              <c:f>'Charts on Ratio Analysis'!$E$3:$M$3</c:f>
              <c:numCache>
                <c:formatCode>0</c:formatCode>
                <c:ptCount val="9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</c:numCache>
            </c:numRef>
          </c:cat>
          <c:val>
            <c:numRef>
              <c:f>'Charts on Ratio Analysis'!$E$141:$M$141</c:f>
              <c:numCache>
                <c:formatCode>0.00%</c:formatCode>
                <c:ptCount val="9"/>
                <c:pt idx="0">
                  <c:v>-0.12753827897166847</c:v>
                </c:pt>
                <c:pt idx="1">
                  <c:v>-0.40984236978373445</c:v>
                </c:pt>
                <c:pt idx="2">
                  <c:v>2.910955051008246E-3</c:v>
                </c:pt>
                <c:pt idx="3">
                  <c:v>-0.11155757887923079</c:v>
                </c:pt>
                <c:pt idx="4">
                  <c:v>-0.69555197201912256</c:v>
                </c:pt>
                <c:pt idx="5">
                  <c:v>-0.38873345935727788</c:v>
                </c:pt>
                <c:pt idx="6">
                  <c:v>0.72514656710599312</c:v>
                </c:pt>
                <c:pt idx="7">
                  <c:v>0.14107859806240364</c:v>
                </c:pt>
                <c:pt idx="8">
                  <c:v>-0.14157244695564464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02-49C9-A51F-95B83F057395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62022936"/>
        <c:axId val="462023920"/>
      </c:lineChart>
      <c:catAx>
        <c:axId val="462022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023920"/>
        <c:crosses val="autoZero"/>
        <c:auto val="1"/>
        <c:lblAlgn val="ctr"/>
        <c:lblOffset val="100"/>
        <c:noMultiLvlLbl val="0"/>
      </c:catAx>
      <c:valAx>
        <c:axId val="462023920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022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'Charts on Ratio Analysis'!$C$182</c:f>
              <c:strCache>
                <c:ptCount val="1"/>
                <c:pt idx="0">
                  <c:v>Fixed Asset Turnover Ratio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rgbClr val="C00000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numRef>
              <c:f>'Charts on Ratio Analysis'!$D$3:$M$3</c:f>
              <c:numCache>
                <c:formatCode>0</c:formatCode>
                <c:ptCount val="10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</c:numCache>
            </c:numRef>
          </c:cat>
          <c:val>
            <c:numRef>
              <c:f>'Charts on Ratio Analysis'!$D$182:$M$182</c:f>
              <c:numCache>
                <c:formatCode>0.00</c:formatCode>
                <c:ptCount val="10"/>
                <c:pt idx="0">
                  <c:v>8.6150775229783676</c:v>
                </c:pt>
                <c:pt idx="1">
                  <c:v>7.6202106833224574</c:v>
                </c:pt>
                <c:pt idx="2">
                  <c:v>7.379501385041551</c:v>
                </c:pt>
                <c:pt idx="3">
                  <c:v>7.119377473911479</c:v>
                </c:pt>
                <c:pt idx="4">
                  <c:v>7.375</c:v>
                </c:pt>
                <c:pt idx="5">
                  <c:v>5.7656343656343658</c:v>
                </c:pt>
                <c:pt idx="6">
                  <c:v>8.8926672038678483</c:v>
                </c:pt>
                <c:pt idx="7">
                  <c:v>10.07218124341412</c:v>
                </c:pt>
                <c:pt idx="8">
                  <c:v>11.347956505436821</c:v>
                </c:pt>
                <c:pt idx="9">
                  <c:v>11.245228140338121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43-4BA2-B584-04CE671299BE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33760984"/>
        <c:axId val="333767216"/>
      </c:lineChart>
      <c:catAx>
        <c:axId val="333760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3767216"/>
        <c:crosses val="autoZero"/>
        <c:auto val="1"/>
        <c:lblAlgn val="ctr"/>
        <c:lblOffset val="100"/>
        <c:noMultiLvlLbl val="0"/>
      </c:catAx>
      <c:valAx>
        <c:axId val="333767216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3760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'Charts on Ratio Analysis'!$C$183</c:f>
              <c:strCache>
                <c:ptCount val="1"/>
                <c:pt idx="0">
                  <c:v>YoY % change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rgbClr val="C00000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numRef>
              <c:f>'Charts on Ratio Analysis'!$E$3:$M$3</c:f>
              <c:numCache>
                <c:formatCode>0</c:formatCode>
                <c:ptCount val="9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</c:numCache>
            </c:numRef>
          </c:cat>
          <c:val>
            <c:numRef>
              <c:f>'Charts on Ratio Analysis'!$E$183:$M$183</c:f>
              <c:numCache>
                <c:formatCode>0.00%</c:formatCode>
                <c:ptCount val="9"/>
                <c:pt idx="0">
                  <c:v>-0.11547973155231328</c:v>
                </c:pt>
                <c:pt idx="1">
                  <c:v>-3.1588273380383169E-2</c:v>
                </c:pt>
                <c:pt idx="2">
                  <c:v>-3.5249523993226672E-2</c:v>
                </c:pt>
                <c:pt idx="3">
                  <c:v>3.5905179494307493E-2</c:v>
                </c:pt>
                <c:pt idx="4">
                  <c:v>-0.21821906906652666</c:v>
                </c:pt>
                <c:pt idx="5">
                  <c:v>0.54235711804271336</c:v>
                </c:pt>
                <c:pt idx="6">
                  <c:v>0.13263894987920422</c:v>
                </c:pt>
                <c:pt idx="7">
                  <c:v>0.12666325507763188</c:v>
                </c:pt>
                <c:pt idx="8">
                  <c:v>-9.0525871375594091E-3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FD-44DE-8A67-2AD15DD208E5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33786568"/>
        <c:axId val="333789192"/>
      </c:lineChart>
      <c:catAx>
        <c:axId val="333786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3789192"/>
        <c:crosses val="autoZero"/>
        <c:auto val="1"/>
        <c:lblAlgn val="ctr"/>
        <c:lblOffset val="100"/>
        <c:noMultiLvlLbl val="0"/>
      </c:catAx>
      <c:valAx>
        <c:axId val="333789192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3786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'Charts on Ratio Analysis'!$C$185</c:f>
              <c:strCache>
                <c:ptCount val="1"/>
                <c:pt idx="0">
                  <c:v>Inventory Turnover Ratio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rgbClr val="C00000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numRef>
              <c:f>'Charts on Ratio Analysis'!$D$3:$M$3</c:f>
              <c:numCache>
                <c:formatCode>0</c:formatCode>
                <c:ptCount val="10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</c:numCache>
            </c:numRef>
          </c:cat>
          <c:val>
            <c:numRef>
              <c:f>'Charts on Ratio Analysis'!$D$185:$M$185</c:f>
              <c:numCache>
                <c:formatCode>0.00</c:formatCode>
                <c:ptCount val="10"/>
                <c:pt idx="0">
                  <c:v>21.022433718558805</c:v>
                </c:pt>
                <c:pt idx="1">
                  <c:v>22.472359058565957</c:v>
                </c:pt>
                <c:pt idx="2">
                  <c:v>26.676546391752577</c:v>
                </c:pt>
                <c:pt idx="3">
                  <c:v>26.910714285714285</c:v>
                </c:pt>
                <c:pt idx="4">
                  <c:v>26.128024502297091</c:v>
                </c:pt>
                <c:pt idx="5">
                  <c:v>15.86186004241139</c:v>
                </c:pt>
                <c:pt idx="6">
                  <c:v>14.173127368114253</c:v>
                </c:pt>
                <c:pt idx="7">
                  <c:v>14.946547240681884</c:v>
                </c:pt>
                <c:pt idx="8">
                  <c:v>17.395813808184943</c:v>
                </c:pt>
                <c:pt idx="9">
                  <c:v>20.316992259491339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4D-4D24-B159-EA5D1BC673C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33837736"/>
        <c:axId val="333833800"/>
      </c:lineChart>
      <c:catAx>
        <c:axId val="333837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3833800"/>
        <c:crosses val="autoZero"/>
        <c:auto val="1"/>
        <c:lblAlgn val="ctr"/>
        <c:lblOffset val="100"/>
        <c:noMultiLvlLbl val="0"/>
      </c:catAx>
      <c:valAx>
        <c:axId val="333833800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3837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'Charts on Ratio Analysis'!$C$186</c:f>
              <c:strCache>
                <c:ptCount val="1"/>
                <c:pt idx="0">
                  <c:v>YoY % change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rgbClr val="C00000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numRef>
              <c:f>'Charts on Ratio Analysis'!$E$3:$M$3</c:f>
              <c:numCache>
                <c:formatCode>0</c:formatCode>
                <c:ptCount val="9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</c:numCache>
            </c:numRef>
          </c:cat>
          <c:val>
            <c:numRef>
              <c:f>'Charts on Ratio Analysis'!$E$186:$M$186</c:f>
              <c:numCache>
                <c:formatCode>0.00%</c:formatCode>
                <c:ptCount val="9"/>
                <c:pt idx="0">
                  <c:v>6.8970384657564443E-2</c:v>
                </c:pt>
                <c:pt idx="1">
                  <c:v>0.18708259877078093</c:v>
                </c:pt>
                <c:pt idx="2">
                  <c:v>8.7780438488134216E-3</c:v>
                </c:pt>
                <c:pt idx="3">
                  <c:v>-2.908469002744718E-2</c:v>
                </c:pt>
                <c:pt idx="4">
                  <c:v>-0.39291774466083851</c:v>
                </c:pt>
                <c:pt idx="5">
                  <c:v>-0.10646498391625003</c:v>
                </c:pt>
                <c:pt idx="6">
                  <c:v>5.4569457571348678E-2</c:v>
                </c:pt>
                <c:pt idx="7">
                  <c:v>0.16386838565876838</c:v>
                </c:pt>
                <c:pt idx="8">
                  <c:v>0.16792421921255252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D0-4266-9E50-C8EA76A64D6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33762624"/>
        <c:axId val="333765248"/>
      </c:lineChart>
      <c:catAx>
        <c:axId val="333762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3765248"/>
        <c:crosses val="autoZero"/>
        <c:auto val="1"/>
        <c:lblAlgn val="ctr"/>
        <c:lblOffset val="100"/>
        <c:noMultiLvlLbl val="0"/>
      </c:catAx>
      <c:valAx>
        <c:axId val="333765248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3762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_xlchart.v1.1</cx:f>
      </cx:strDim>
      <cx:numDim type="val">
        <cx:f dir="row">_xlchart.v1.2</cx:f>
      </cx:numDim>
    </cx:data>
  </cx:chartData>
  <cx:chart>
    <cx:plotArea>
      <cx:plotAreaRegion>
        <cx:series layoutId="waterfall" uniqueId="{A2FAA3AD-FB41-4A7E-8A42-9AC6EE532BD9}">
          <cx:tx>
            <cx:txData>
              <cx:f>_xlchart.v1.0</cx:f>
              <cx:v>YTD vs PYTD cash and cash equivalents</cx:v>
            </cx:txData>
          </cx:tx>
          <cx:spPr>
            <a:ln>
              <a:solidFill>
                <a:schemeClr val="accent1">
                  <a:lumMod val="40000"/>
                  <a:lumOff val="60000"/>
                </a:schemeClr>
              </a:solidFill>
            </a:ln>
          </cx:spPr>
          <cx:dataPt idx="0">
            <cx:spPr>
              <a:solidFill>
                <a:schemeClr val="accent2"/>
              </a:solidFill>
            </cx:spPr>
          </cx:dataPt>
          <cx:dataPt idx="1">
            <cx:spPr>
              <a:solidFill>
                <a:schemeClr val="accent2"/>
              </a:solidFill>
            </cx:spPr>
          </cx:dataPt>
          <cx:dataPt idx="2">
            <cx:spPr>
              <a:solidFill>
                <a:schemeClr val="accent1">
                  <a:lumMod val="50000"/>
                </a:schemeClr>
              </a:solidFill>
            </cx:spPr>
          </cx:dataPt>
          <cx:dataPt idx="3">
            <cx:spPr>
              <a:solidFill>
                <a:schemeClr val="accent1">
                  <a:lumMod val="50000"/>
                </a:schemeClr>
              </a:solidFill>
            </cx:spPr>
          </cx:dataPt>
          <cx:dataPt idx="4">
            <cx:spPr>
              <a:solidFill>
                <a:schemeClr val="accent2"/>
              </a:solidFill>
            </cx:spPr>
          </cx:dataPt>
          <cx:dataPt idx="5">
            <cx:spPr>
              <a:solidFill>
                <a:schemeClr val="accent2"/>
              </a:solidFill>
            </cx:spPr>
          </cx:dataPt>
          <cx:dataPt idx="6">
            <cx:spPr>
              <a:solidFill>
                <a:schemeClr val="accent1">
                  <a:lumMod val="50000"/>
                </a:schemeClr>
              </a:solidFill>
            </cx:spPr>
          </cx:dataPt>
          <cx:dataPt idx="7">
            <cx:spPr>
              <a:solidFill>
                <a:schemeClr val="accent2"/>
              </a:solidFill>
            </cx:spPr>
          </cx:dataPt>
          <cx:dataPt idx="8">
            <cx:spPr>
              <a:solidFill>
                <a:schemeClr val="accent1">
                  <a:lumMod val="50000"/>
                </a:schemeClr>
              </a:solidFill>
            </cx:spPr>
          </cx:dataPt>
          <cx:dataPt idx="9">
            <cx:spPr>
              <a:solidFill>
                <a:schemeClr val="accent1">
                  <a:lumMod val="50000"/>
                </a:schemeClr>
              </a:solidFill>
            </cx:spPr>
          </cx:dataPt>
          <cx:dataPt idx="10">
            <cx:spPr>
              <a:solidFill>
                <a:schemeClr val="accent3">
                  <a:lumMod val="75000"/>
                </a:schemeClr>
              </a:solidFill>
            </cx:spPr>
          </cx:dataPt>
          <cx:dataLabels pos="outEnd">
            <cx:visibility seriesName="0" categoryName="0" value="1"/>
          </cx:dataLabels>
          <cx:dataId val="0"/>
          <cx:layoutPr>
            <cx:visibility connectorLines="1"/>
            <cx:subtotals>
              <cx:idx val="10"/>
            </cx:subtotals>
          </cx:layoutPr>
        </cx:series>
      </cx:plotAreaRegion>
      <cx:axis id="0">
        <cx:catScaling gapWidth="0.779999971"/>
        <cx:tickLabels/>
      </cx:axis>
      <cx:axis id="1">
        <cx:valScaling/>
        <cx:tickLabels/>
      </cx:axis>
    </cx:plotArea>
  </cx:chart>
  <cx:spPr>
    <a:ln>
      <a:noFill/>
    </a:ln>
  </cx:spPr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3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4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5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6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7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8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9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0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2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3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4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5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6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7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8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9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0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2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3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4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5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6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7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8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9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0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2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3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4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5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6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7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8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9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0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8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9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  <cs:bodyPr wrap="square" lIns="38100" tIns="19050" rIns="38100" bIns="19050" anchor="ctr">
      <a:spAutoFit/>
    </cs:bodyPr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/>
  </cs:valueAxis>
  <cs:wall>
    <cs:lnRef idx="0"/>
    <cs:fillRef idx="0"/>
    <cs:effectRef idx="0"/>
    <cs:fontRef idx="minor">
      <a:schemeClr val="tx1"/>
    </cs:fontRef>
  </cs:wall>
</cs:chartStyle>
</file>

<file path=xl/charts/style70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2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3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4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5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6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7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8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9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0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2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3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4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5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6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7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8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9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26" Type="http://schemas.openxmlformats.org/officeDocument/2006/relationships/chart" Target="../charts/chart26.xml"/><Relationship Id="rId39" Type="http://schemas.openxmlformats.org/officeDocument/2006/relationships/chart" Target="../charts/chart39.xml"/><Relationship Id="rId21" Type="http://schemas.openxmlformats.org/officeDocument/2006/relationships/chart" Target="../charts/chart21.xml"/><Relationship Id="rId34" Type="http://schemas.openxmlformats.org/officeDocument/2006/relationships/chart" Target="../charts/chart34.xml"/><Relationship Id="rId42" Type="http://schemas.openxmlformats.org/officeDocument/2006/relationships/chart" Target="../charts/chart42.xml"/><Relationship Id="rId47" Type="http://schemas.openxmlformats.org/officeDocument/2006/relationships/chart" Target="../charts/chart47.xml"/><Relationship Id="rId50" Type="http://schemas.openxmlformats.org/officeDocument/2006/relationships/chart" Target="../charts/chart50.xml"/><Relationship Id="rId55" Type="http://schemas.openxmlformats.org/officeDocument/2006/relationships/chart" Target="../charts/chart55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5" Type="http://schemas.openxmlformats.org/officeDocument/2006/relationships/chart" Target="../charts/chart25.xml"/><Relationship Id="rId33" Type="http://schemas.openxmlformats.org/officeDocument/2006/relationships/chart" Target="../charts/chart33.xml"/><Relationship Id="rId38" Type="http://schemas.openxmlformats.org/officeDocument/2006/relationships/chart" Target="../charts/chart38.xml"/><Relationship Id="rId46" Type="http://schemas.openxmlformats.org/officeDocument/2006/relationships/chart" Target="../charts/chart46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29" Type="http://schemas.openxmlformats.org/officeDocument/2006/relationships/chart" Target="../charts/chart29.xml"/><Relationship Id="rId41" Type="http://schemas.openxmlformats.org/officeDocument/2006/relationships/chart" Target="../charts/chart41.xml"/><Relationship Id="rId54" Type="http://schemas.openxmlformats.org/officeDocument/2006/relationships/chart" Target="../charts/chart54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24" Type="http://schemas.openxmlformats.org/officeDocument/2006/relationships/chart" Target="../charts/chart24.xml"/><Relationship Id="rId32" Type="http://schemas.openxmlformats.org/officeDocument/2006/relationships/chart" Target="../charts/chart32.xml"/><Relationship Id="rId37" Type="http://schemas.openxmlformats.org/officeDocument/2006/relationships/chart" Target="../charts/chart37.xml"/><Relationship Id="rId40" Type="http://schemas.openxmlformats.org/officeDocument/2006/relationships/chart" Target="../charts/chart40.xml"/><Relationship Id="rId45" Type="http://schemas.openxmlformats.org/officeDocument/2006/relationships/chart" Target="../charts/chart45.xml"/><Relationship Id="rId53" Type="http://schemas.openxmlformats.org/officeDocument/2006/relationships/chart" Target="../charts/chart53.xml"/><Relationship Id="rId58" Type="http://schemas.openxmlformats.org/officeDocument/2006/relationships/chart" Target="../charts/chart58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chart" Target="../charts/chart23.xml"/><Relationship Id="rId28" Type="http://schemas.openxmlformats.org/officeDocument/2006/relationships/chart" Target="../charts/chart28.xml"/><Relationship Id="rId36" Type="http://schemas.openxmlformats.org/officeDocument/2006/relationships/chart" Target="../charts/chart36.xml"/><Relationship Id="rId49" Type="http://schemas.openxmlformats.org/officeDocument/2006/relationships/chart" Target="../charts/chart49.xml"/><Relationship Id="rId57" Type="http://schemas.openxmlformats.org/officeDocument/2006/relationships/chart" Target="../charts/chart57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31" Type="http://schemas.openxmlformats.org/officeDocument/2006/relationships/chart" Target="../charts/chart31.xml"/><Relationship Id="rId44" Type="http://schemas.openxmlformats.org/officeDocument/2006/relationships/chart" Target="../charts/chart44.xml"/><Relationship Id="rId52" Type="http://schemas.openxmlformats.org/officeDocument/2006/relationships/chart" Target="../charts/chart52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Relationship Id="rId27" Type="http://schemas.openxmlformats.org/officeDocument/2006/relationships/chart" Target="../charts/chart27.xml"/><Relationship Id="rId30" Type="http://schemas.openxmlformats.org/officeDocument/2006/relationships/chart" Target="../charts/chart30.xml"/><Relationship Id="rId35" Type="http://schemas.openxmlformats.org/officeDocument/2006/relationships/chart" Target="../charts/chart35.xml"/><Relationship Id="rId43" Type="http://schemas.openxmlformats.org/officeDocument/2006/relationships/chart" Target="../charts/chart43.xml"/><Relationship Id="rId48" Type="http://schemas.openxmlformats.org/officeDocument/2006/relationships/chart" Target="../charts/chart48.xml"/><Relationship Id="rId56" Type="http://schemas.openxmlformats.org/officeDocument/2006/relationships/chart" Target="../charts/chart56.xml"/><Relationship Id="rId8" Type="http://schemas.openxmlformats.org/officeDocument/2006/relationships/chart" Target="../charts/chart8.xml"/><Relationship Id="rId51" Type="http://schemas.openxmlformats.org/officeDocument/2006/relationships/chart" Target="../charts/chart51.xml"/><Relationship Id="rId3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66.xml"/><Relationship Id="rId3" Type="http://schemas.openxmlformats.org/officeDocument/2006/relationships/chart" Target="../charts/chart61.xml"/><Relationship Id="rId7" Type="http://schemas.openxmlformats.org/officeDocument/2006/relationships/chart" Target="../charts/chart65.xml"/><Relationship Id="rId2" Type="http://schemas.openxmlformats.org/officeDocument/2006/relationships/chart" Target="../charts/chart60.xml"/><Relationship Id="rId1" Type="http://schemas.openxmlformats.org/officeDocument/2006/relationships/chart" Target="../charts/chart59.xml"/><Relationship Id="rId6" Type="http://schemas.openxmlformats.org/officeDocument/2006/relationships/chart" Target="../charts/chart64.xml"/><Relationship Id="rId11" Type="http://schemas.microsoft.com/office/2014/relationships/chartEx" Target="../charts/chartEx1.xml"/><Relationship Id="rId5" Type="http://schemas.openxmlformats.org/officeDocument/2006/relationships/chart" Target="../charts/chart63.xml"/><Relationship Id="rId10" Type="http://schemas.openxmlformats.org/officeDocument/2006/relationships/chart" Target="../charts/chart68.xml"/><Relationship Id="rId4" Type="http://schemas.openxmlformats.org/officeDocument/2006/relationships/chart" Target="../charts/chart62.xml"/><Relationship Id="rId9" Type="http://schemas.openxmlformats.org/officeDocument/2006/relationships/chart" Target="../charts/chart67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76.xml"/><Relationship Id="rId13" Type="http://schemas.openxmlformats.org/officeDocument/2006/relationships/chart" Target="../charts/chart81.xml"/><Relationship Id="rId18" Type="http://schemas.openxmlformats.org/officeDocument/2006/relationships/chart" Target="../charts/chart86.xml"/><Relationship Id="rId3" Type="http://schemas.openxmlformats.org/officeDocument/2006/relationships/chart" Target="../charts/chart71.xml"/><Relationship Id="rId7" Type="http://schemas.openxmlformats.org/officeDocument/2006/relationships/chart" Target="../charts/chart75.xml"/><Relationship Id="rId12" Type="http://schemas.openxmlformats.org/officeDocument/2006/relationships/chart" Target="../charts/chart80.xml"/><Relationship Id="rId17" Type="http://schemas.openxmlformats.org/officeDocument/2006/relationships/chart" Target="../charts/chart85.xml"/><Relationship Id="rId2" Type="http://schemas.openxmlformats.org/officeDocument/2006/relationships/chart" Target="../charts/chart70.xml"/><Relationship Id="rId16" Type="http://schemas.openxmlformats.org/officeDocument/2006/relationships/chart" Target="../charts/chart84.xml"/><Relationship Id="rId20" Type="http://schemas.openxmlformats.org/officeDocument/2006/relationships/chart" Target="../charts/chart88.xml"/><Relationship Id="rId1" Type="http://schemas.openxmlformats.org/officeDocument/2006/relationships/chart" Target="../charts/chart69.xml"/><Relationship Id="rId6" Type="http://schemas.openxmlformats.org/officeDocument/2006/relationships/chart" Target="../charts/chart74.xml"/><Relationship Id="rId11" Type="http://schemas.openxmlformats.org/officeDocument/2006/relationships/chart" Target="../charts/chart79.xml"/><Relationship Id="rId5" Type="http://schemas.openxmlformats.org/officeDocument/2006/relationships/chart" Target="../charts/chart73.xml"/><Relationship Id="rId15" Type="http://schemas.openxmlformats.org/officeDocument/2006/relationships/chart" Target="../charts/chart83.xml"/><Relationship Id="rId10" Type="http://schemas.openxmlformats.org/officeDocument/2006/relationships/chart" Target="../charts/chart78.xml"/><Relationship Id="rId19" Type="http://schemas.openxmlformats.org/officeDocument/2006/relationships/chart" Target="../charts/chart87.xml"/><Relationship Id="rId4" Type="http://schemas.openxmlformats.org/officeDocument/2006/relationships/chart" Target="../charts/chart72.xml"/><Relationship Id="rId9" Type="http://schemas.openxmlformats.org/officeDocument/2006/relationships/chart" Target="../charts/chart77.xml"/><Relationship Id="rId14" Type="http://schemas.openxmlformats.org/officeDocument/2006/relationships/chart" Target="../charts/chart8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</xdr:colOff>
      <xdr:row>30</xdr:row>
      <xdr:rowOff>10701</xdr:rowOff>
    </xdr:from>
    <xdr:to>
      <xdr:col>6</xdr:col>
      <xdr:colOff>428626</xdr:colOff>
      <xdr:row>44</xdr:row>
      <xdr:rowOff>22951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132</xdr:row>
      <xdr:rowOff>7385</xdr:rowOff>
    </xdr:from>
    <xdr:to>
      <xdr:col>6</xdr:col>
      <xdr:colOff>438150</xdr:colOff>
      <xdr:row>146</xdr:row>
      <xdr:rowOff>22952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428625</xdr:colOff>
      <xdr:row>132</xdr:row>
      <xdr:rowOff>10703</xdr:rowOff>
    </xdr:from>
    <xdr:to>
      <xdr:col>13</xdr:col>
      <xdr:colOff>0</xdr:colOff>
      <xdr:row>146</xdr:row>
      <xdr:rowOff>20229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253845</xdr:colOff>
      <xdr:row>289</xdr:row>
      <xdr:rowOff>6802</xdr:rowOff>
    </xdr:from>
    <xdr:to>
      <xdr:col>6</xdr:col>
      <xdr:colOff>428624</xdr:colOff>
      <xdr:row>303</xdr:row>
      <xdr:rowOff>4082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428625</xdr:colOff>
      <xdr:row>289</xdr:row>
      <xdr:rowOff>6804</xdr:rowOff>
    </xdr:from>
    <xdr:to>
      <xdr:col>13</xdr:col>
      <xdr:colOff>0</xdr:colOff>
      <xdr:row>303</xdr:row>
      <xdr:rowOff>4082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253847</xdr:colOff>
      <xdr:row>306</xdr:row>
      <xdr:rowOff>13608</xdr:rowOff>
    </xdr:from>
    <xdr:to>
      <xdr:col>6</xdr:col>
      <xdr:colOff>419101</xdr:colOff>
      <xdr:row>320</xdr:row>
      <xdr:rowOff>13607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422083</xdr:colOff>
      <xdr:row>306</xdr:row>
      <xdr:rowOff>6802</xdr:rowOff>
    </xdr:from>
    <xdr:to>
      <xdr:col>13</xdr:col>
      <xdr:colOff>0</xdr:colOff>
      <xdr:row>320</xdr:row>
      <xdr:rowOff>9525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</xdr:col>
      <xdr:colOff>4081</xdr:colOff>
      <xdr:row>323</xdr:row>
      <xdr:rowOff>6803</xdr:rowOff>
    </xdr:from>
    <xdr:to>
      <xdr:col>6</xdr:col>
      <xdr:colOff>419100</xdr:colOff>
      <xdr:row>337</xdr:row>
      <xdr:rowOff>13426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</xdr:col>
      <xdr:colOff>422083</xdr:colOff>
      <xdr:row>323</xdr:row>
      <xdr:rowOff>6803</xdr:rowOff>
    </xdr:from>
    <xdr:to>
      <xdr:col>13</xdr:col>
      <xdr:colOff>0</xdr:colOff>
      <xdr:row>337</xdr:row>
      <xdr:rowOff>13426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</xdr:col>
      <xdr:colOff>13606</xdr:colOff>
      <xdr:row>340</xdr:row>
      <xdr:rowOff>6802</xdr:rowOff>
    </xdr:from>
    <xdr:to>
      <xdr:col>6</xdr:col>
      <xdr:colOff>419100</xdr:colOff>
      <xdr:row>354</xdr:row>
      <xdr:rowOff>4081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6</xdr:col>
      <xdr:colOff>414509</xdr:colOff>
      <xdr:row>340</xdr:row>
      <xdr:rowOff>6802</xdr:rowOff>
    </xdr:from>
    <xdr:to>
      <xdr:col>13</xdr:col>
      <xdr:colOff>0</xdr:colOff>
      <xdr:row>354</xdr:row>
      <xdr:rowOff>4081</xdr:rowOff>
    </xdr:to>
    <xdr:graphicFrame macro="">
      <xdr:nvGraphicFramePr>
        <xdr:cNvPr id="18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</xdr:col>
      <xdr:colOff>0</xdr:colOff>
      <xdr:row>357</xdr:row>
      <xdr:rowOff>6803</xdr:rowOff>
    </xdr:from>
    <xdr:to>
      <xdr:col>6</xdr:col>
      <xdr:colOff>419100</xdr:colOff>
      <xdr:row>370</xdr:row>
      <xdr:rowOff>189991</xdr:rowOff>
    </xdr:to>
    <xdr:graphicFrame macro="">
      <xdr:nvGraphicFramePr>
        <xdr:cNvPr id="19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6</xdr:col>
      <xdr:colOff>422084</xdr:colOff>
      <xdr:row>357</xdr:row>
      <xdr:rowOff>6803</xdr:rowOff>
    </xdr:from>
    <xdr:to>
      <xdr:col>13</xdr:col>
      <xdr:colOff>0</xdr:colOff>
      <xdr:row>370</xdr:row>
      <xdr:rowOff>189991</xdr:rowOff>
    </xdr:to>
    <xdr:graphicFrame macro="">
      <xdr:nvGraphicFramePr>
        <xdr:cNvPr id="20" name="Chart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</xdr:col>
      <xdr:colOff>4182</xdr:colOff>
      <xdr:row>374</xdr:row>
      <xdr:rowOff>10688</xdr:rowOff>
    </xdr:from>
    <xdr:to>
      <xdr:col>6</xdr:col>
      <xdr:colOff>419100</xdr:colOff>
      <xdr:row>388</xdr:row>
      <xdr:rowOff>34427</xdr:rowOff>
    </xdr:to>
    <xdr:graphicFrame macro="">
      <xdr:nvGraphicFramePr>
        <xdr:cNvPr id="21" name="Chart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6</xdr:col>
      <xdr:colOff>419100</xdr:colOff>
      <xdr:row>374</xdr:row>
      <xdr:rowOff>10687</xdr:rowOff>
    </xdr:from>
    <xdr:to>
      <xdr:col>13</xdr:col>
      <xdr:colOff>0</xdr:colOff>
      <xdr:row>388</xdr:row>
      <xdr:rowOff>34427</xdr:rowOff>
    </xdr:to>
    <xdr:graphicFrame macro="">
      <xdr:nvGraphicFramePr>
        <xdr:cNvPr id="22" name="Chart 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2</xdr:col>
      <xdr:colOff>6196</xdr:colOff>
      <xdr:row>390</xdr:row>
      <xdr:rowOff>188435</xdr:rowOff>
    </xdr:from>
    <xdr:to>
      <xdr:col>6</xdr:col>
      <xdr:colOff>419100</xdr:colOff>
      <xdr:row>405</xdr:row>
      <xdr:rowOff>9870</xdr:rowOff>
    </xdr:to>
    <xdr:graphicFrame macro="">
      <xdr:nvGraphicFramePr>
        <xdr:cNvPr id="23" name="Chart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6</xdr:col>
      <xdr:colOff>422083</xdr:colOff>
      <xdr:row>390</xdr:row>
      <xdr:rowOff>188433</xdr:rowOff>
    </xdr:from>
    <xdr:to>
      <xdr:col>13</xdr:col>
      <xdr:colOff>0</xdr:colOff>
      <xdr:row>405</xdr:row>
      <xdr:rowOff>9868</xdr:rowOff>
    </xdr:to>
    <xdr:graphicFrame macro="">
      <xdr:nvGraphicFramePr>
        <xdr:cNvPr id="24" name="Chart 2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2</xdr:col>
      <xdr:colOff>0</xdr:colOff>
      <xdr:row>408</xdr:row>
      <xdr:rowOff>7461</xdr:rowOff>
    </xdr:from>
    <xdr:to>
      <xdr:col>6</xdr:col>
      <xdr:colOff>419100</xdr:colOff>
      <xdr:row>422</xdr:row>
      <xdr:rowOff>13427</xdr:rowOff>
    </xdr:to>
    <xdr:graphicFrame macro="">
      <xdr:nvGraphicFramePr>
        <xdr:cNvPr id="25" name="Chart 2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6</xdr:col>
      <xdr:colOff>422083</xdr:colOff>
      <xdr:row>408</xdr:row>
      <xdr:rowOff>7460</xdr:rowOff>
    </xdr:from>
    <xdr:to>
      <xdr:col>13</xdr:col>
      <xdr:colOff>0</xdr:colOff>
      <xdr:row>422</xdr:row>
      <xdr:rowOff>13427</xdr:rowOff>
    </xdr:to>
    <xdr:graphicFrame macro="">
      <xdr:nvGraphicFramePr>
        <xdr:cNvPr id="26" name="Chart 2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2</xdr:col>
      <xdr:colOff>3902</xdr:colOff>
      <xdr:row>425</xdr:row>
      <xdr:rowOff>7460</xdr:rowOff>
    </xdr:from>
    <xdr:to>
      <xdr:col>6</xdr:col>
      <xdr:colOff>419100</xdr:colOff>
      <xdr:row>439</xdr:row>
      <xdr:rowOff>1951</xdr:rowOff>
    </xdr:to>
    <xdr:graphicFrame macro="">
      <xdr:nvGraphicFramePr>
        <xdr:cNvPr id="27" name="Chart 2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6</xdr:col>
      <xdr:colOff>422083</xdr:colOff>
      <xdr:row>425</xdr:row>
      <xdr:rowOff>7461</xdr:rowOff>
    </xdr:from>
    <xdr:to>
      <xdr:col>13</xdr:col>
      <xdr:colOff>0</xdr:colOff>
      <xdr:row>439</xdr:row>
      <xdr:rowOff>1951</xdr:rowOff>
    </xdr:to>
    <xdr:graphicFrame macro="">
      <xdr:nvGraphicFramePr>
        <xdr:cNvPr id="28" name="Chart 2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2</xdr:col>
      <xdr:colOff>13425</xdr:colOff>
      <xdr:row>442</xdr:row>
      <xdr:rowOff>7459</xdr:rowOff>
    </xdr:from>
    <xdr:to>
      <xdr:col>6</xdr:col>
      <xdr:colOff>419100</xdr:colOff>
      <xdr:row>456</xdr:row>
      <xdr:rowOff>1951</xdr:rowOff>
    </xdr:to>
    <xdr:graphicFrame macro="">
      <xdr:nvGraphicFramePr>
        <xdr:cNvPr id="29" name="Chart 2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6</xdr:col>
      <xdr:colOff>414509</xdr:colOff>
      <xdr:row>442</xdr:row>
      <xdr:rowOff>7459</xdr:rowOff>
    </xdr:from>
    <xdr:to>
      <xdr:col>13</xdr:col>
      <xdr:colOff>0</xdr:colOff>
      <xdr:row>456</xdr:row>
      <xdr:rowOff>1951</xdr:rowOff>
    </xdr:to>
    <xdr:graphicFrame macro="">
      <xdr:nvGraphicFramePr>
        <xdr:cNvPr id="30" name="Chart 2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2</xdr:col>
      <xdr:colOff>13427</xdr:colOff>
      <xdr:row>47</xdr:row>
      <xdr:rowOff>7459</xdr:rowOff>
    </xdr:from>
    <xdr:to>
      <xdr:col>6</xdr:col>
      <xdr:colOff>428625</xdr:colOff>
      <xdr:row>61</xdr:row>
      <xdr:rowOff>19394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6</xdr:col>
      <xdr:colOff>428625</xdr:colOff>
      <xdr:row>47</xdr:row>
      <xdr:rowOff>7459</xdr:rowOff>
    </xdr:from>
    <xdr:to>
      <xdr:col>12</xdr:col>
      <xdr:colOff>885824</xdr:colOff>
      <xdr:row>61</xdr:row>
      <xdr:rowOff>19394</xdr:rowOff>
    </xdr:to>
    <xdr:graphicFrame macro="">
      <xdr:nvGraphicFramePr>
        <xdr:cNvPr id="31" name="Chart 3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2</xdr:col>
      <xdr:colOff>10702</xdr:colOff>
      <xdr:row>64</xdr:row>
      <xdr:rowOff>7383</xdr:rowOff>
    </xdr:from>
    <xdr:to>
      <xdr:col>6</xdr:col>
      <xdr:colOff>438150</xdr:colOff>
      <xdr:row>78</xdr:row>
      <xdr:rowOff>30928</xdr:rowOff>
    </xdr:to>
    <xdr:graphicFrame macro="">
      <xdr:nvGraphicFramePr>
        <xdr:cNvPr id="36" name="Chart 3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6</xdr:col>
      <xdr:colOff>438150</xdr:colOff>
      <xdr:row>64</xdr:row>
      <xdr:rowOff>10702</xdr:rowOff>
    </xdr:from>
    <xdr:to>
      <xdr:col>13</xdr:col>
      <xdr:colOff>0</xdr:colOff>
      <xdr:row>78</xdr:row>
      <xdr:rowOff>32108</xdr:rowOff>
    </xdr:to>
    <xdr:graphicFrame macro="">
      <xdr:nvGraphicFramePr>
        <xdr:cNvPr id="37" name="Chart 3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2</xdr:col>
      <xdr:colOff>13426</xdr:colOff>
      <xdr:row>81</xdr:row>
      <xdr:rowOff>7460</xdr:rowOff>
    </xdr:from>
    <xdr:to>
      <xdr:col>6</xdr:col>
      <xdr:colOff>447675</xdr:colOff>
      <xdr:row>95</xdr:row>
      <xdr:rowOff>19395</xdr:rowOff>
    </xdr:to>
    <xdr:graphicFrame macro="">
      <xdr:nvGraphicFramePr>
        <xdr:cNvPr id="38" name="Chart 3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6</xdr:col>
      <xdr:colOff>452265</xdr:colOff>
      <xdr:row>81</xdr:row>
      <xdr:rowOff>7460</xdr:rowOff>
    </xdr:from>
    <xdr:to>
      <xdr:col>13</xdr:col>
      <xdr:colOff>0</xdr:colOff>
      <xdr:row>95</xdr:row>
      <xdr:rowOff>19395</xdr:rowOff>
    </xdr:to>
    <xdr:graphicFrame macro="">
      <xdr:nvGraphicFramePr>
        <xdr:cNvPr id="39" name="Chart 3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2</xdr:col>
      <xdr:colOff>3903</xdr:colOff>
      <xdr:row>98</xdr:row>
      <xdr:rowOff>7460</xdr:rowOff>
    </xdr:from>
    <xdr:to>
      <xdr:col>6</xdr:col>
      <xdr:colOff>447675</xdr:colOff>
      <xdr:row>112</xdr:row>
      <xdr:rowOff>19395</xdr:rowOff>
    </xdr:to>
    <xdr:graphicFrame macro="">
      <xdr:nvGraphicFramePr>
        <xdr:cNvPr id="40" name="Chart 3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6</xdr:col>
      <xdr:colOff>435165</xdr:colOff>
      <xdr:row>98</xdr:row>
      <xdr:rowOff>7459</xdr:rowOff>
    </xdr:from>
    <xdr:to>
      <xdr:col>12</xdr:col>
      <xdr:colOff>885824</xdr:colOff>
      <xdr:row>112</xdr:row>
      <xdr:rowOff>19394</xdr:rowOff>
    </xdr:to>
    <xdr:graphicFrame macro="">
      <xdr:nvGraphicFramePr>
        <xdr:cNvPr id="41" name="Chart 4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2</xdr:col>
      <xdr:colOff>0</xdr:colOff>
      <xdr:row>115</xdr:row>
      <xdr:rowOff>10702</xdr:rowOff>
    </xdr:from>
    <xdr:to>
      <xdr:col>6</xdr:col>
      <xdr:colOff>438150</xdr:colOff>
      <xdr:row>129</xdr:row>
      <xdr:rowOff>10702</xdr:rowOff>
    </xdr:to>
    <xdr:graphicFrame macro="">
      <xdr:nvGraphicFramePr>
        <xdr:cNvPr id="44" name="Chart 4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6</xdr:col>
      <xdr:colOff>438151</xdr:colOff>
      <xdr:row>115</xdr:row>
      <xdr:rowOff>7383</xdr:rowOff>
    </xdr:from>
    <xdr:to>
      <xdr:col>13</xdr:col>
      <xdr:colOff>0</xdr:colOff>
      <xdr:row>129</xdr:row>
      <xdr:rowOff>10702</xdr:rowOff>
    </xdr:to>
    <xdr:graphicFrame macro="">
      <xdr:nvGraphicFramePr>
        <xdr:cNvPr id="45" name="Chart 4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2</xdr:col>
      <xdr:colOff>3901</xdr:colOff>
      <xdr:row>169</xdr:row>
      <xdr:rowOff>11246</xdr:rowOff>
    </xdr:from>
    <xdr:to>
      <xdr:col>6</xdr:col>
      <xdr:colOff>428625</xdr:colOff>
      <xdr:row>183</xdr:row>
      <xdr:rowOff>23181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6</xdr:col>
      <xdr:colOff>419100</xdr:colOff>
      <xdr:row>169</xdr:row>
      <xdr:rowOff>11245</xdr:rowOff>
    </xdr:from>
    <xdr:to>
      <xdr:col>12</xdr:col>
      <xdr:colOff>885824</xdr:colOff>
      <xdr:row>183</xdr:row>
      <xdr:rowOff>23180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2</xdr:col>
      <xdr:colOff>3902</xdr:colOff>
      <xdr:row>186</xdr:row>
      <xdr:rowOff>11244</xdr:rowOff>
    </xdr:from>
    <xdr:to>
      <xdr:col>6</xdr:col>
      <xdr:colOff>419100</xdr:colOff>
      <xdr:row>200</xdr:row>
      <xdr:rowOff>23179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6</xdr:col>
      <xdr:colOff>419100</xdr:colOff>
      <xdr:row>186</xdr:row>
      <xdr:rowOff>11246</xdr:rowOff>
    </xdr:from>
    <xdr:to>
      <xdr:col>13</xdr:col>
      <xdr:colOff>0</xdr:colOff>
      <xdr:row>200</xdr:row>
      <xdr:rowOff>23181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  <xdr:twoCellAnchor>
    <xdr:from>
      <xdr:col>2</xdr:col>
      <xdr:colOff>3902</xdr:colOff>
      <xdr:row>203</xdr:row>
      <xdr:rowOff>11245</xdr:rowOff>
    </xdr:from>
    <xdr:to>
      <xdr:col>6</xdr:col>
      <xdr:colOff>419100</xdr:colOff>
      <xdr:row>217</xdr:row>
      <xdr:rowOff>23180</xdr:rowOff>
    </xdr:to>
    <xdr:graphicFrame macro="">
      <xdr:nvGraphicFramePr>
        <xdr:cNvPr id="32" name="Chart 3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xdr:graphicFrame>
    <xdr:clientData/>
  </xdr:twoCellAnchor>
  <xdr:twoCellAnchor>
    <xdr:from>
      <xdr:col>6</xdr:col>
      <xdr:colOff>419101</xdr:colOff>
      <xdr:row>203</xdr:row>
      <xdr:rowOff>11247</xdr:rowOff>
    </xdr:from>
    <xdr:to>
      <xdr:col>13</xdr:col>
      <xdr:colOff>0</xdr:colOff>
      <xdr:row>217</xdr:row>
      <xdr:rowOff>23182</xdr:rowOff>
    </xdr:to>
    <xdr:graphicFrame macro="">
      <xdr:nvGraphicFramePr>
        <xdr:cNvPr id="33" name="Chart 3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9"/>
        </a:graphicData>
      </a:graphic>
    </xdr:graphicFrame>
    <xdr:clientData/>
  </xdr:twoCellAnchor>
  <xdr:twoCellAnchor>
    <xdr:from>
      <xdr:col>2</xdr:col>
      <xdr:colOff>3898</xdr:colOff>
      <xdr:row>220</xdr:row>
      <xdr:rowOff>11245</xdr:rowOff>
    </xdr:from>
    <xdr:to>
      <xdr:col>6</xdr:col>
      <xdr:colOff>419100</xdr:colOff>
      <xdr:row>234</xdr:row>
      <xdr:rowOff>23180</xdr:rowOff>
    </xdr:to>
    <xdr:graphicFrame macro="">
      <xdr:nvGraphicFramePr>
        <xdr:cNvPr id="34" name="Chart 3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0"/>
        </a:graphicData>
      </a:graphic>
    </xdr:graphicFrame>
    <xdr:clientData/>
  </xdr:twoCellAnchor>
  <xdr:twoCellAnchor>
    <xdr:from>
      <xdr:col>6</xdr:col>
      <xdr:colOff>419100</xdr:colOff>
      <xdr:row>220</xdr:row>
      <xdr:rowOff>11246</xdr:rowOff>
    </xdr:from>
    <xdr:to>
      <xdr:col>13</xdr:col>
      <xdr:colOff>0</xdr:colOff>
      <xdr:row>234</xdr:row>
      <xdr:rowOff>23181</xdr:rowOff>
    </xdr:to>
    <xdr:graphicFrame macro="">
      <xdr:nvGraphicFramePr>
        <xdr:cNvPr id="35" name="Chart 3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1"/>
        </a:graphicData>
      </a:graphic>
    </xdr:graphicFrame>
    <xdr:clientData/>
  </xdr:twoCellAnchor>
  <xdr:twoCellAnchor>
    <xdr:from>
      <xdr:col>2</xdr:col>
      <xdr:colOff>3902</xdr:colOff>
      <xdr:row>237</xdr:row>
      <xdr:rowOff>11246</xdr:rowOff>
    </xdr:from>
    <xdr:to>
      <xdr:col>6</xdr:col>
      <xdr:colOff>419100</xdr:colOff>
      <xdr:row>251</xdr:row>
      <xdr:rowOff>23181</xdr:rowOff>
    </xdr:to>
    <xdr:graphicFrame macro="">
      <xdr:nvGraphicFramePr>
        <xdr:cNvPr id="42" name="Chart 4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2"/>
        </a:graphicData>
      </a:graphic>
    </xdr:graphicFrame>
    <xdr:clientData/>
  </xdr:twoCellAnchor>
  <xdr:twoCellAnchor>
    <xdr:from>
      <xdr:col>6</xdr:col>
      <xdr:colOff>419099</xdr:colOff>
      <xdr:row>237</xdr:row>
      <xdr:rowOff>11246</xdr:rowOff>
    </xdr:from>
    <xdr:to>
      <xdr:col>12</xdr:col>
      <xdr:colOff>885824</xdr:colOff>
      <xdr:row>251</xdr:row>
      <xdr:rowOff>23181</xdr:rowOff>
    </xdr:to>
    <xdr:graphicFrame macro="">
      <xdr:nvGraphicFramePr>
        <xdr:cNvPr id="43" name="Chart 4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3"/>
        </a:graphicData>
      </a:graphic>
    </xdr:graphicFrame>
    <xdr:clientData/>
  </xdr:twoCellAnchor>
  <xdr:twoCellAnchor>
    <xdr:from>
      <xdr:col>2</xdr:col>
      <xdr:colOff>13427</xdr:colOff>
      <xdr:row>485</xdr:row>
      <xdr:rowOff>11245</xdr:rowOff>
    </xdr:from>
    <xdr:to>
      <xdr:col>6</xdr:col>
      <xdr:colOff>428625</xdr:colOff>
      <xdr:row>499</xdr:row>
      <xdr:rowOff>23179</xdr:rowOff>
    </xdr:to>
    <xdr:graphicFrame macro="">
      <xdr:nvGraphicFramePr>
        <xdr:cNvPr id="46" name="Chart 4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4"/>
        </a:graphicData>
      </a:graphic>
    </xdr:graphicFrame>
    <xdr:clientData/>
  </xdr:twoCellAnchor>
  <xdr:twoCellAnchor>
    <xdr:from>
      <xdr:col>6</xdr:col>
      <xdr:colOff>428626</xdr:colOff>
      <xdr:row>485</xdr:row>
      <xdr:rowOff>11246</xdr:rowOff>
    </xdr:from>
    <xdr:to>
      <xdr:col>13</xdr:col>
      <xdr:colOff>1</xdr:colOff>
      <xdr:row>499</xdr:row>
      <xdr:rowOff>23180</xdr:rowOff>
    </xdr:to>
    <xdr:graphicFrame macro="">
      <xdr:nvGraphicFramePr>
        <xdr:cNvPr id="47" name="Chart 4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5"/>
        </a:graphicData>
      </a:graphic>
    </xdr:graphicFrame>
    <xdr:clientData/>
  </xdr:twoCellAnchor>
  <xdr:twoCellAnchor>
    <xdr:from>
      <xdr:col>2</xdr:col>
      <xdr:colOff>13428</xdr:colOff>
      <xdr:row>502</xdr:row>
      <xdr:rowOff>11246</xdr:rowOff>
    </xdr:from>
    <xdr:to>
      <xdr:col>6</xdr:col>
      <xdr:colOff>428625</xdr:colOff>
      <xdr:row>516</xdr:row>
      <xdr:rowOff>23181</xdr:rowOff>
    </xdr:to>
    <xdr:graphicFrame macro="">
      <xdr:nvGraphicFramePr>
        <xdr:cNvPr id="48" name="Chart 4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6"/>
        </a:graphicData>
      </a:graphic>
    </xdr:graphicFrame>
    <xdr:clientData/>
  </xdr:twoCellAnchor>
  <xdr:twoCellAnchor>
    <xdr:from>
      <xdr:col>6</xdr:col>
      <xdr:colOff>428625</xdr:colOff>
      <xdr:row>502</xdr:row>
      <xdr:rowOff>11246</xdr:rowOff>
    </xdr:from>
    <xdr:to>
      <xdr:col>12</xdr:col>
      <xdr:colOff>885824</xdr:colOff>
      <xdr:row>516</xdr:row>
      <xdr:rowOff>23181</xdr:rowOff>
    </xdr:to>
    <xdr:graphicFrame macro="">
      <xdr:nvGraphicFramePr>
        <xdr:cNvPr id="49" name="Chart 4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7"/>
        </a:graphicData>
      </a:graphic>
    </xdr:graphicFrame>
    <xdr:clientData/>
  </xdr:twoCellAnchor>
  <xdr:twoCellAnchor>
    <xdr:from>
      <xdr:col>2</xdr:col>
      <xdr:colOff>3903</xdr:colOff>
      <xdr:row>519</xdr:row>
      <xdr:rowOff>11247</xdr:rowOff>
    </xdr:from>
    <xdr:to>
      <xdr:col>6</xdr:col>
      <xdr:colOff>428626</xdr:colOff>
      <xdr:row>533</xdr:row>
      <xdr:rowOff>23182</xdr:rowOff>
    </xdr:to>
    <xdr:graphicFrame macro="">
      <xdr:nvGraphicFramePr>
        <xdr:cNvPr id="50" name="Chart 4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8"/>
        </a:graphicData>
      </a:graphic>
    </xdr:graphicFrame>
    <xdr:clientData/>
  </xdr:twoCellAnchor>
  <xdr:twoCellAnchor>
    <xdr:from>
      <xdr:col>6</xdr:col>
      <xdr:colOff>428625</xdr:colOff>
      <xdr:row>519</xdr:row>
      <xdr:rowOff>11246</xdr:rowOff>
    </xdr:from>
    <xdr:to>
      <xdr:col>12</xdr:col>
      <xdr:colOff>885824</xdr:colOff>
      <xdr:row>533</xdr:row>
      <xdr:rowOff>23181</xdr:rowOff>
    </xdr:to>
    <xdr:graphicFrame macro="">
      <xdr:nvGraphicFramePr>
        <xdr:cNvPr id="51" name="Chart 5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9"/>
        </a:graphicData>
      </a:graphic>
    </xdr:graphicFrame>
    <xdr:clientData/>
  </xdr:twoCellAnchor>
  <xdr:twoCellAnchor>
    <xdr:from>
      <xdr:col>2</xdr:col>
      <xdr:colOff>3903</xdr:colOff>
      <xdr:row>536</xdr:row>
      <xdr:rowOff>11246</xdr:rowOff>
    </xdr:from>
    <xdr:to>
      <xdr:col>6</xdr:col>
      <xdr:colOff>428626</xdr:colOff>
      <xdr:row>550</xdr:row>
      <xdr:rowOff>23181</xdr:rowOff>
    </xdr:to>
    <xdr:graphicFrame macro="">
      <xdr:nvGraphicFramePr>
        <xdr:cNvPr id="52" name="Chart 5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0"/>
        </a:graphicData>
      </a:graphic>
    </xdr:graphicFrame>
    <xdr:clientData/>
  </xdr:twoCellAnchor>
  <xdr:twoCellAnchor>
    <xdr:from>
      <xdr:col>6</xdr:col>
      <xdr:colOff>428625</xdr:colOff>
      <xdr:row>536</xdr:row>
      <xdr:rowOff>11246</xdr:rowOff>
    </xdr:from>
    <xdr:to>
      <xdr:col>13</xdr:col>
      <xdr:colOff>0</xdr:colOff>
      <xdr:row>550</xdr:row>
      <xdr:rowOff>23181</xdr:rowOff>
    </xdr:to>
    <xdr:graphicFrame macro="">
      <xdr:nvGraphicFramePr>
        <xdr:cNvPr id="53" name="Chart 5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1"/>
        </a:graphicData>
      </a:graphic>
    </xdr:graphicFrame>
    <xdr:clientData/>
  </xdr:twoCellAnchor>
  <xdr:twoCellAnchor>
    <xdr:from>
      <xdr:col>2</xdr:col>
      <xdr:colOff>3901</xdr:colOff>
      <xdr:row>553</xdr:row>
      <xdr:rowOff>11245</xdr:rowOff>
    </xdr:from>
    <xdr:to>
      <xdr:col>6</xdr:col>
      <xdr:colOff>428625</xdr:colOff>
      <xdr:row>567</xdr:row>
      <xdr:rowOff>23180</xdr:rowOff>
    </xdr:to>
    <xdr:graphicFrame macro="">
      <xdr:nvGraphicFramePr>
        <xdr:cNvPr id="54" name="Chart 5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2"/>
        </a:graphicData>
      </a:graphic>
    </xdr:graphicFrame>
    <xdr:clientData/>
  </xdr:twoCellAnchor>
  <xdr:twoCellAnchor>
    <xdr:from>
      <xdr:col>6</xdr:col>
      <xdr:colOff>428625</xdr:colOff>
      <xdr:row>553</xdr:row>
      <xdr:rowOff>11246</xdr:rowOff>
    </xdr:from>
    <xdr:to>
      <xdr:col>12</xdr:col>
      <xdr:colOff>885824</xdr:colOff>
      <xdr:row>567</xdr:row>
      <xdr:rowOff>23181</xdr:rowOff>
    </xdr:to>
    <xdr:graphicFrame macro="">
      <xdr:nvGraphicFramePr>
        <xdr:cNvPr id="55" name="Chart 5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3"/>
        </a:graphicData>
      </a:graphic>
    </xdr:graphicFrame>
    <xdr:clientData/>
  </xdr:twoCellAnchor>
  <xdr:twoCellAnchor>
    <xdr:from>
      <xdr:col>2</xdr:col>
      <xdr:colOff>13427</xdr:colOff>
      <xdr:row>570</xdr:row>
      <xdr:rowOff>11245</xdr:rowOff>
    </xdr:from>
    <xdr:to>
      <xdr:col>6</xdr:col>
      <xdr:colOff>428625</xdr:colOff>
      <xdr:row>584</xdr:row>
      <xdr:rowOff>23180</xdr:rowOff>
    </xdr:to>
    <xdr:graphicFrame macro="">
      <xdr:nvGraphicFramePr>
        <xdr:cNvPr id="56" name="Chart 5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4"/>
        </a:graphicData>
      </a:graphic>
    </xdr:graphicFrame>
    <xdr:clientData/>
  </xdr:twoCellAnchor>
  <xdr:twoCellAnchor>
    <xdr:from>
      <xdr:col>6</xdr:col>
      <xdr:colOff>428625</xdr:colOff>
      <xdr:row>570</xdr:row>
      <xdr:rowOff>11245</xdr:rowOff>
    </xdr:from>
    <xdr:to>
      <xdr:col>12</xdr:col>
      <xdr:colOff>885824</xdr:colOff>
      <xdr:row>584</xdr:row>
      <xdr:rowOff>23180</xdr:rowOff>
    </xdr:to>
    <xdr:graphicFrame macro="">
      <xdr:nvGraphicFramePr>
        <xdr:cNvPr id="57" name="Chart 5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5"/>
        </a:graphicData>
      </a:graphic>
    </xdr:graphicFrame>
    <xdr:clientData/>
  </xdr:twoCellAnchor>
  <xdr:twoCellAnchor>
    <xdr:from>
      <xdr:col>2</xdr:col>
      <xdr:colOff>13425</xdr:colOff>
      <xdr:row>587</xdr:row>
      <xdr:rowOff>13198</xdr:rowOff>
    </xdr:from>
    <xdr:to>
      <xdr:col>6</xdr:col>
      <xdr:colOff>428625</xdr:colOff>
      <xdr:row>601</xdr:row>
      <xdr:rowOff>34658</xdr:rowOff>
    </xdr:to>
    <xdr:graphicFrame macro="">
      <xdr:nvGraphicFramePr>
        <xdr:cNvPr id="58" name="Chart 5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6"/>
        </a:graphicData>
      </a:graphic>
    </xdr:graphicFrame>
    <xdr:clientData/>
  </xdr:twoCellAnchor>
  <xdr:twoCellAnchor>
    <xdr:from>
      <xdr:col>6</xdr:col>
      <xdr:colOff>428625</xdr:colOff>
      <xdr:row>587</xdr:row>
      <xdr:rowOff>11247</xdr:rowOff>
    </xdr:from>
    <xdr:to>
      <xdr:col>13</xdr:col>
      <xdr:colOff>0</xdr:colOff>
      <xdr:row>601</xdr:row>
      <xdr:rowOff>34428</xdr:rowOff>
    </xdr:to>
    <xdr:graphicFrame macro="">
      <xdr:nvGraphicFramePr>
        <xdr:cNvPr id="59" name="Chart 5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7"/>
        </a:graphicData>
      </a:graphic>
    </xdr:graphicFrame>
    <xdr:clientData/>
  </xdr:twoCellAnchor>
  <xdr:twoCellAnchor>
    <xdr:from>
      <xdr:col>6</xdr:col>
      <xdr:colOff>428626</xdr:colOff>
      <xdr:row>30</xdr:row>
      <xdr:rowOff>11245</xdr:rowOff>
    </xdr:from>
    <xdr:to>
      <xdr:col>13</xdr:col>
      <xdr:colOff>1</xdr:colOff>
      <xdr:row>44</xdr:row>
      <xdr:rowOff>23180</xdr:rowOff>
    </xdr:to>
    <xdr:graphicFrame macro="">
      <xdr:nvGraphicFramePr>
        <xdr:cNvPr id="60" name="Chart 5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457200</xdr:colOff>
      <xdr:row>4</xdr:row>
      <xdr:rowOff>47625</xdr:rowOff>
    </xdr:from>
    <xdr:to>
      <xdr:col>12</xdr:col>
      <xdr:colOff>238125</xdr:colOff>
      <xdr:row>20</xdr:row>
      <xdr:rowOff>152400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485775</xdr:colOff>
      <xdr:row>4</xdr:row>
      <xdr:rowOff>47625</xdr:rowOff>
    </xdr:from>
    <xdr:to>
      <xdr:col>24</xdr:col>
      <xdr:colOff>219074</xdr:colOff>
      <xdr:row>20</xdr:row>
      <xdr:rowOff>161924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171448</xdr:colOff>
      <xdr:row>24</xdr:row>
      <xdr:rowOff>28575</xdr:rowOff>
    </xdr:from>
    <xdr:to>
      <xdr:col>12</xdr:col>
      <xdr:colOff>123825</xdr:colOff>
      <xdr:row>39</xdr:row>
      <xdr:rowOff>9525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533399</xdr:colOff>
      <xdr:row>23</xdr:row>
      <xdr:rowOff>190499</xdr:rowOff>
    </xdr:from>
    <xdr:to>
      <xdr:col>24</xdr:col>
      <xdr:colOff>133350</xdr:colOff>
      <xdr:row>39</xdr:row>
      <xdr:rowOff>28575</xdr:rowOff>
    </xdr:to>
    <xdr:graphicFrame macro="">
      <xdr:nvGraphicFramePr>
        <xdr:cNvPr id="18" name="Chart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161924</xdr:colOff>
      <xdr:row>42</xdr:row>
      <xdr:rowOff>47625</xdr:rowOff>
    </xdr:from>
    <xdr:to>
      <xdr:col>12</xdr:col>
      <xdr:colOff>133349</xdr:colOff>
      <xdr:row>56</xdr:row>
      <xdr:rowOff>123825</xdr:rowOff>
    </xdr:to>
    <xdr:graphicFrame macro="">
      <xdr:nvGraphicFramePr>
        <xdr:cNvPr id="20" name="Chart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0</xdr:colOff>
      <xdr:row>42</xdr:row>
      <xdr:rowOff>57148</xdr:rowOff>
    </xdr:from>
    <xdr:to>
      <xdr:col>24</xdr:col>
      <xdr:colOff>38100</xdr:colOff>
      <xdr:row>56</xdr:row>
      <xdr:rowOff>114299</xdr:rowOff>
    </xdr:to>
    <xdr:graphicFrame macro="">
      <xdr:nvGraphicFramePr>
        <xdr:cNvPr id="22" name="Chart 2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95250</xdr:colOff>
      <xdr:row>60</xdr:row>
      <xdr:rowOff>57150</xdr:rowOff>
    </xdr:from>
    <xdr:to>
      <xdr:col>12</xdr:col>
      <xdr:colOff>114299</xdr:colOff>
      <xdr:row>74</xdr:row>
      <xdr:rowOff>133350</xdr:rowOff>
    </xdr:to>
    <xdr:graphicFrame macro="">
      <xdr:nvGraphicFramePr>
        <xdr:cNvPr id="24" name="Chart 2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171449</xdr:colOff>
      <xdr:row>78</xdr:row>
      <xdr:rowOff>38100</xdr:rowOff>
    </xdr:from>
    <xdr:to>
      <xdr:col>12</xdr:col>
      <xdr:colOff>114300</xdr:colOff>
      <xdr:row>92</xdr:row>
      <xdr:rowOff>114300</xdr:rowOff>
    </xdr:to>
    <xdr:graphicFrame macro="">
      <xdr:nvGraphicFramePr>
        <xdr:cNvPr id="26" name="Chart 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13</xdr:col>
      <xdr:colOff>0</xdr:colOff>
      <xdr:row>78</xdr:row>
      <xdr:rowOff>47625</xdr:rowOff>
    </xdr:from>
    <xdr:to>
      <xdr:col>24</xdr:col>
      <xdr:colOff>123825</xdr:colOff>
      <xdr:row>92</xdr:row>
      <xdr:rowOff>123825</xdr:rowOff>
    </xdr:to>
    <xdr:graphicFrame macro="">
      <xdr:nvGraphicFramePr>
        <xdr:cNvPr id="28" name="Chart 2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152400</xdr:colOff>
      <xdr:row>96</xdr:row>
      <xdr:rowOff>38099</xdr:rowOff>
    </xdr:from>
    <xdr:to>
      <xdr:col>12</xdr:col>
      <xdr:colOff>114299</xdr:colOff>
      <xdr:row>110</xdr:row>
      <xdr:rowOff>133350</xdr:rowOff>
    </xdr:to>
    <xdr:graphicFrame macro="">
      <xdr:nvGraphicFramePr>
        <xdr:cNvPr id="30" name="Chart 2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12</xdr:col>
      <xdr:colOff>495300</xdr:colOff>
      <xdr:row>96</xdr:row>
      <xdr:rowOff>19051</xdr:rowOff>
    </xdr:from>
    <xdr:to>
      <xdr:col>24</xdr:col>
      <xdr:colOff>85725</xdr:colOff>
      <xdr:row>111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2" name="Chart 3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4536</xdr:colOff>
      <xdr:row>21</xdr:row>
      <xdr:rowOff>6122</xdr:rowOff>
    </xdr:from>
    <xdr:to>
      <xdr:col>6</xdr:col>
      <xdr:colOff>628650</xdr:colOff>
      <xdr:row>35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628649</xdr:colOff>
      <xdr:row>21</xdr:row>
      <xdr:rowOff>6122</xdr:rowOff>
    </xdr:from>
    <xdr:to>
      <xdr:col>12</xdr:col>
      <xdr:colOff>923924</xdr:colOff>
      <xdr:row>35</xdr:row>
      <xdr:rowOff>4081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4535</xdr:colOff>
      <xdr:row>38</xdr:row>
      <xdr:rowOff>6121</xdr:rowOff>
    </xdr:from>
    <xdr:to>
      <xdr:col>6</xdr:col>
      <xdr:colOff>619125</xdr:colOff>
      <xdr:row>52</xdr:row>
      <xdr:rowOff>11340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619125</xdr:colOff>
      <xdr:row>38</xdr:row>
      <xdr:rowOff>6122</xdr:rowOff>
    </xdr:from>
    <xdr:to>
      <xdr:col>13</xdr:col>
      <xdr:colOff>0</xdr:colOff>
      <xdr:row>52</xdr:row>
      <xdr:rowOff>11340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4532</xdr:colOff>
      <xdr:row>55</xdr:row>
      <xdr:rowOff>6123</xdr:rowOff>
    </xdr:from>
    <xdr:to>
      <xdr:col>6</xdr:col>
      <xdr:colOff>628650</xdr:colOff>
      <xdr:row>69</xdr:row>
      <xdr:rowOff>11338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619126</xdr:colOff>
      <xdr:row>55</xdr:row>
      <xdr:rowOff>6123</xdr:rowOff>
    </xdr:from>
    <xdr:to>
      <xdr:col>13</xdr:col>
      <xdr:colOff>1</xdr:colOff>
      <xdr:row>69</xdr:row>
      <xdr:rowOff>11339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4535</xdr:colOff>
      <xdr:row>72</xdr:row>
      <xdr:rowOff>6123</xdr:rowOff>
    </xdr:from>
    <xdr:to>
      <xdr:col>6</xdr:col>
      <xdr:colOff>619125</xdr:colOff>
      <xdr:row>86</xdr:row>
      <xdr:rowOff>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</xdr:col>
      <xdr:colOff>619125</xdr:colOff>
      <xdr:row>72</xdr:row>
      <xdr:rowOff>6122</xdr:rowOff>
    </xdr:from>
    <xdr:to>
      <xdr:col>12</xdr:col>
      <xdr:colOff>923924</xdr:colOff>
      <xdr:row>86</xdr:row>
      <xdr:rowOff>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</xdr:col>
      <xdr:colOff>2294</xdr:colOff>
      <xdr:row>100</xdr:row>
      <xdr:rowOff>6122</xdr:rowOff>
    </xdr:from>
    <xdr:to>
      <xdr:col>6</xdr:col>
      <xdr:colOff>628650</xdr:colOff>
      <xdr:row>114</xdr:row>
      <xdr:rowOff>11339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6</xdr:col>
      <xdr:colOff>628650</xdr:colOff>
      <xdr:row>100</xdr:row>
      <xdr:rowOff>6122</xdr:rowOff>
    </xdr:from>
    <xdr:to>
      <xdr:col>13</xdr:col>
      <xdr:colOff>0</xdr:colOff>
      <xdr:row>114</xdr:row>
      <xdr:rowOff>11339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</xdr:col>
      <xdr:colOff>2294</xdr:colOff>
      <xdr:row>117</xdr:row>
      <xdr:rowOff>6121</xdr:rowOff>
    </xdr:from>
    <xdr:to>
      <xdr:col>6</xdr:col>
      <xdr:colOff>619125</xdr:colOff>
      <xdr:row>131</xdr:row>
      <xdr:rowOff>11338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6</xdr:col>
      <xdr:colOff>619125</xdr:colOff>
      <xdr:row>117</xdr:row>
      <xdr:rowOff>6121</xdr:rowOff>
    </xdr:from>
    <xdr:to>
      <xdr:col>13</xdr:col>
      <xdr:colOff>1</xdr:colOff>
      <xdr:row>131</xdr:row>
      <xdr:rowOff>11338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</xdr:col>
      <xdr:colOff>1950</xdr:colOff>
      <xdr:row>145</xdr:row>
      <xdr:rowOff>11246</xdr:rowOff>
    </xdr:from>
    <xdr:to>
      <xdr:col>6</xdr:col>
      <xdr:colOff>628650</xdr:colOff>
      <xdr:row>159</xdr:row>
      <xdr:rowOff>23181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6</xdr:col>
      <xdr:colOff>628651</xdr:colOff>
      <xdr:row>145</xdr:row>
      <xdr:rowOff>11246</xdr:rowOff>
    </xdr:from>
    <xdr:to>
      <xdr:col>13</xdr:col>
      <xdr:colOff>2</xdr:colOff>
      <xdr:row>159</xdr:row>
      <xdr:rowOff>23181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</xdr:col>
      <xdr:colOff>1950</xdr:colOff>
      <xdr:row>162</xdr:row>
      <xdr:rowOff>11247</xdr:rowOff>
    </xdr:from>
    <xdr:to>
      <xdr:col>6</xdr:col>
      <xdr:colOff>628650</xdr:colOff>
      <xdr:row>176</xdr:row>
      <xdr:rowOff>23181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6</xdr:col>
      <xdr:colOff>628650</xdr:colOff>
      <xdr:row>162</xdr:row>
      <xdr:rowOff>11246</xdr:rowOff>
    </xdr:from>
    <xdr:to>
      <xdr:col>13</xdr:col>
      <xdr:colOff>0</xdr:colOff>
      <xdr:row>176</xdr:row>
      <xdr:rowOff>23180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2</xdr:col>
      <xdr:colOff>1951</xdr:colOff>
      <xdr:row>190</xdr:row>
      <xdr:rowOff>11245</xdr:rowOff>
    </xdr:from>
    <xdr:to>
      <xdr:col>6</xdr:col>
      <xdr:colOff>628651</xdr:colOff>
      <xdr:row>204</xdr:row>
      <xdr:rowOff>23180</xdr:rowOff>
    </xdr:to>
    <xdr:graphicFrame macro="">
      <xdr:nvGraphicFramePr>
        <xdr:cNvPr id="18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6</xdr:col>
      <xdr:colOff>628650</xdr:colOff>
      <xdr:row>190</xdr:row>
      <xdr:rowOff>11245</xdr:rowOff>
    </xdr:from>
    <xdr:to>
      <xdr:col>13</xdr:col>
      <xdr:colOff>0</xdr:colOff>
      <xdr:row>204</xdr:row>
      <xdr:rowOff>23180</xdr:rowOff>
    </xdr:to>
    <xdr:graphicFrame macro="">
      <xdr:nvGraphicFramePr>
        <xdr:cNvPr id="19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2</xdr:col>
      <xdr:colOff>1950</xdr:colOff>
      <xdr:row>207</xdr:row>
      <xdr:rowOff>11247</xdr:rowOff>
    </xdr:from>
    <xdr:to>
      <xdr:col>6</xdr:col>
      <xdr:colOff>628649</xdr:colOff>
      <xdr:row>221</xdr:row>
      <xdr:rowOff>23182</xdr:rowOff>
    </xdr:to>
    <xdr:graphicFrame macro="">
      <xdr:nvGraphicFramePr>
        <xdr:cNvPr id="20" name="Chart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6</xdr:col>
      <xdr:colOff>628649</xdr:colOff>
      <xdr:row>207</xdr:row>
      <xdr:rowOff>11246</xdr:rowOff>
    </xdr:from>
    <xdr:to>
      <xdr:col>12</xdr:col>
      <xdr:colOff>923924</xdr:colOff>
      <xdr:row>221</xdr:row>
      <xdr:rowOff>23181</xdr:rowOff>
    </xdr:to>
    <xdr:graphicFrame macro="">
      <xdr:nvGraphicFramePr>
        <xdr:cNvPr id="21" name="Chart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1"/>
  <sheetViews>
    <sheetView showGridLines="0" tabSelected="1" zoomScaleNormal="100" workbookViewId="0">
      <pane ySplit="3" topLeftCell="A4" activePane="bottomLeft" state="frozen"/>
      <selection pane="bottomLeft"/>
    </sheetView>
  </sheetViews>
  <sheetFormatPr defaultRowHeight="15" x14ac:dyDescent="0.2"/>
  <cols>
    <col min="1" max="1" width="3" style="3" customWidth="1"/>
    <col min="2" max="2" width="57.83203125" style="14" customWidth="1"/>
    <col min="3" max="12" width="15.83203125" style="10" customWidth="1"/>
    <col min="13" max="16384" width="9.33203125" style="3"/>
  </cols>
  <sheetData>
    <row r="2" spans="1:12" ht="18.75" x14ac:dyDescent="0.2">
      <c r="B2" s="337" t="s">
        <v>153</v>
      </c>
      <c r="C2" s="337"/>
      <c r="D2" s="337"/>
      <c r="E2" s="337"/>
      <c r="F2" s="337"/>
      <c r="G2" s="337"/>
      <c r="H2" s="337"/>
      <c r="I2" s="337"/>
      <c r="J2" s="337"/>
      <c r="K2" s="337"/>
      <c r="L2" s="337"/>
    </row>
    <row r="3" spans="1:12" x14ac:dyDescent="0.2">
      <c r="B3" s="22" t="s">
        <v>471</v>
      </c>
      <c r="C3" s="4">
        <v>42004</v>
      </c>
      <c r="D3" s="4">
        <f>EDATE(C3,12)</f>
        <v>42369</v>
      </c>
      <c r="E3" s="4">
        <f t="shared" ref="E3:L3" si="0">EDATE(D3,12)</f>
        <v>42735</v>
      </c>
      <c r="F3" s="4">
        <f t="shared" si="0"/>
        <v>43100</v>
      </c>
      <c r="G3" s="4">
        <f t="shared" si="0"/>
        <v>43465</v>
      </c>
      <c r="H3" s="4">
        <f t="shared" si="0"/>
        <v>43830</v>
      </c>
      <c r="I3" s="4">
        <f t="shared" si="0"/>
        <v>44196</v>
      </c>
      <c r="J3" s="4">
        <f t="shared" si="0"/>
        <v>44561</v>
      </c>
      <c r="K3" s="4">
        <f t="shared" si="0"/>
        <v>44926</v>
      </c>
      <c r="L3" s="4">
        <f t="shared" si="0"/>
        <v>45291</v>
      </c>
    </row>
    <row r="5" spans="1:12" ht="15.75" x14ac:dyDescent="0.25">
      <c r="A5" s="5" t="s">
        <v>182</v>
      </c>
      <c r="B5" s="25" t="s">
        <v>134</v>
      </c>
      <c r="C5" s="6"/>
      <c r="D5" s="6"/>
      <c r="E5" s="6"/>
      <c r="F5" s="6"/>
      <c r="G5" s="6"/>
      <c r="H5" s="6"/>
      <c r="I5" s="6"/>
      <c r="J5" s="6"/>
      <c r="K5" s="6"/>
      <c r="L5" s="6"/>
    </row>
    <row r="6" spans="1:12" x14ac:dyDescent="0.2">
      <c r="B6" s="14" t="s">
        <v>154</v>
      </c>
      <c r="C6" s="7">
        <f>'Income statement'!B7</f>
        <v>92793</v>
      </c>
      <c r="D6" s="7">
        <f>'Income statement'!C7</f>
        <v>81742</v>
      </c>
      <c r="E6" s="7">
        <f>'Income statement'!D7</f>
        <v>79920</v>
      </c>
      <c r="F6" s="7">
        <f>'Income statement'!E7</f>
        <v>79139</v>
      </c>
      <c r="G6" s="7">
        <f>'Income statement'!F7</f>
        <v>79591</v>
      </c>
      <c r="H6" s="7">
        <f>'Income statement'!G7</f>
        <v>57714</v>
      </c>
      <c r="I6" s="7">
        <f>'Income statement'!H7</f>
        <v>55179</v>
      </c>
      <c r="J6" s="7">
        <f>'Income statement'!I7</f>
        <v>57351</v>
      </c>
      <c r="K6" s="7">
        <f>'Income statement'!J7</f>
        <v>60530</v>
      </c>
      <c r="L6" s="7">
        <f>'Income statement'!K7</f>
        <v>61860</v>
      </c>
    </row>
    <row r="7" spans="1:12" x14ac:dyDescent="0.2">
      <c r="B7" s="23" t="s">
        <v>155</v>
      </c>
      <c r="C7" s="8" t="s">
        <v>58</v>
      </c>
      <c r="D7" s="9">
        <f>D6/C6-1</f>
        <v>-0.11909303503497026</v>
      </c>
      <c r="E7" s="9">
        <f t="shared" ref="E7:L7" si="1">E6/D6-1</f>
        <v>-2.2289643023170491E-2</v>
      </c>
      <c r="F7" s="9">
        <f t="shared" si="1"/>
        <v>-9.7722722722722866E-3</v>
      </c>
      <c r="G7" s="9">
        <f t="shared" si="1"/>
        <v>5.7114696925661956E-3</v>
      </c>
      <c r="H7" s="9">
        <f t="shared" si="1"/>
        <v>-0.27486776143031244</v>
      </c>
      <c r="I7" s="9">
        <f t="shared" si="1"/>
        <v>-4.3923484769726628E-2</v>
      </c>
      <c r="J7" s="9">
        <f t="shared" si="1"/>
        <v>3.9362801065622843E-2</v>
      </c>
      <c r="K7" s="9">
        <f t="shared" si="1"/>
        <v>5.5430594061132377E-2</v>
      </c>
      <c r="L7" s="9">
        <f t="shared" si="1"/>
        <v>2.197257558235588E-2</v>
      </c>
    </row>
    <row r="9" spans="1:12" x14ac:dyDescent="0.2">
      <c r="B9" s="14" t="s">
        <v>156</v>
      </c>
      <c r="C9" s="7">
        <f>'Income statement'!B12</f>
        <v>46386</v>
      </c>
      <c r="D9" s="7">
        <f>'Income statement'!C12</f>
        <v>41057</v>
      </c>
      <c r="E9" s="7">
        <f>'Income statement'!D12</f>
        <v>41402</v>
      </c>
      <c r="F9" s="7">
        <f>'Income statement'!E12</f>
        <v>42196</v>
      </c>
      <c r="G9" s="7">
        <f>'Income statement'!F12</f>
        <v>42654</v>
      </c>
      <c r="H9" s="7">
        <f>'Income statement'!G12</f>
        <v>26180</v>
      </c>
      <c r="I9" s="7">
        <f>'Income statement'!H12</f>
        <v>24314</v>
      </c>
      <c r="J9" s="7">
        <f>'Income statement'!I12</f>
        <v>25865</v>
      </c>
      <c r="K9" s="7">
        <f>'Income statement'!J12</f>
        <v>27842</v>
      </c>
      <c r="L9" s="7">
        <f>'Income statement'!K12</f>
        <v>27560</v>
      </c>
    </row>
    <row r="10" spans="1:12" x14ac:dyDescent="0.2">
      <c r="B10" s="23" t="s">
        <v>160</v>
      </c>
      <c r="C10" s="9">
        <f>C9/C6</f>
        <v>0.49988684491287061</v>
      </c>
      <c r="D10" s="9">
        <f t="shared" ref="D10:L10" si="2">D9/D6</f>
        <v>0.50227545203200308</v>
      </c>
      <c r="E10" s="9">
        <f t="shared" si="2"/>
        <v>0.51804304304304305</v>
      </c>
      <c r="F10" s="9">
        <f t="shared" si="2"/>
        <v>0.53318844059186998</v>
      </c>
      <c r="G10" s="9">
        <f t="shared" si="2"/>
        <v>0.53591486474601402</v>
      </c>
      <c r="H10" s="9">
        <f t="shared" si="2"/>
        <v>0.45361610701043076</v>
      </c>
      <c r="I10" s="9">
        <f t="shared" si="2"/>
        <v>0.4406386487613041</v>
      </c>
      <c r="J10" s="9">
        <f t="shared" si="2"/>
        <v>0.45099475161723424</v>
      </c>
      <c r="K10" s="9">
        <f t="shared" si="2"/>
        <v>0.45997026267966296</v>
      </c>
      <c r="L10" s="9">
        <f t="shared" si="2"/>
        <v>0.44552214678305851</v>
      </c>
    </row>
    <row r="11" spans="1:12" x14ac:dyDescent="0.2">
      <c r="B11" s="14" t="s">
        <v>104</v>
      </c>
    </row>
    <row r="12" spans="1:12" x14ac:dyDescent="0.2">
      <c r="B12" s="28" t="s">
        <v>157</v>
      </c>
      <c r="C12" s="27">
        <f>C6-C9</f>
        <v>46407</v>
      </c>
      <c r="D12" s="27">
        <f t="shared" ref="D12:L12" si="3">D6-D9</f>
        <v>40685</v>
      </c>
      <c r="E12" s="27">
        <f t="shared" si="3"/>
        <v>38518</v>
      </c>
      <c r="F12" s="27">
        <f t="shared" si="3"/>
        <v>36943</v>
      </c>
      <c r="G12" s="27">
        <f t="shared" si="3"/>
        <v>36937</v>
      </c>
      <c r="H12" s="27">
        <f t="shared" si="3"/>
        <v>31534</v>
      </c>
      <c r="I12" s="27">
        <f t="shared" si="3"/>
        <v>30865</v>
      </c>
      <c r="J12" s="27">
        <f t="shared" si="3"/>
        <v>31486</v>
      </c>
      <c r="K12" s="27">
        <f t="shared" si="3"/>
        <v>32688</v>
      </c>
      <c r="L12" s="27">
        <f t="shared" si="3"/>
        <v>34300</v>
      </c>
    </row>
    <row r="13" spans="1:12" x14ac:dyDescent="0.2">
      <c r="B13" s="23" t="s">
        <v>158</v>
      </c>
      <c r="C13" s="9">
        <f>C12/C6</f>
        <v>0.50011315508712939</v>
      </c>
      <c r="D13" s="9">
        <f t="shared" ref="D13:L13" si="4">D12/D6</f>
        <v>0.49772454796799687</v>
      </c>
      <c r="E13" s="9">
        <f t="shared" si="4"/>
        <v>0.48195695695695695</v>
      </c>
      <c r="F13" s="9">
        <f t="shared" si="4"/>
        <v>0.46681155940813002</v>
      </c>
      <c r="G13" s="9">
        <f t="shared" si="4"/>
        <v>0.46408513525398598</v>
      </c>
      <c r="H13" s="9">
        <f t="shared" si="4"/>
        <v>0.54638389298956924</v>
      </c>
      <c r="I13" s="9">
        <f t="shared" si="4"/>
        <v>0.5593613512386959</v>
      </c>
      <c r="J13" s="9">
        <f t="shared" si="4"/>
        <v>0.54900524838276576</v>
      </c>
      <c r="K13" s="9">
        <f t="shared" si="4"/>
        <v>0.54002973732033699</v>
      </c>
      <c r="L13" s="9">
        <f t="shared" si="4"/>
        <v>0.55447785321694143</v>
      </c>
    </row>
    <row r="15" spans="1:12" x14ac:dyDescent="0.2">
      <c r="B15" s="14" t="s">
        <v>159</v>
      </c>
      <c r="C15" s="7">
        <f>'Income statement'!B15+'Income statement'!B16</f>
        <v>28617</v>
      </c>
      <c r="D15" s="7">
        <f>'Income statement'!C15+'Income statement'!C16</f>
        <v>25677</v>
      </c>
      <c r="E15" s="7">
        <f>'Income statement'!D15+'Income statement'!D16</f>
        <v>26595</v>
      </c>
      <c r="F15" s="7">
        <f>'Income statement'!E15+'Income statement'!E16</f>
        <v>25270</v>
      </c>
      <c r="G15" s="7">
        <f>'Income statement'!F15+'Income statement'!F16</f>
        <v>24745</v>
      </c>
      <c r="H15" s="7">
        <f>'Income statement'!G15+'Income statement'!G16</f>
        <v>24634</v>
      </c>
      <c r="I15" s="7">
        <f>'Income statement'!H15+'Income statement'!H16</f>
        <v>26823</v>
      </c>
      <c r="J15" s="7">
        <f>'Income statement'!I15+'Income statement'!I16</f>
        <v>25233</v>
      </c>
      <c r="K15" s="7">
        <f>'Income statement'!J15+'Income statement'!J16</f>
        <v>25176</v>
      </c>
      <c r="L15" s="7">
        <f>'Income statement'!K15+'Income statement'!K16</f>
        <v>25778</v>
      </c>
    </row>
    <row r="16" spans="1:12" x14ac:dyDescent="0.2">
      <c r="B16" s="23" t="s">
        <v>161</v>
      </c>
      <c r="C16" s="9">
        <f>C15/C6</f>
        <v>0.30839610746500273</v>
      </c>
      <c r="D16" s="9">
        <f t="shared" ref="D16:L16" si="5">D15/D6</f>
        <v>0.31412248293410977</v>
      </c>
      <c r="E16" s="9">
        <f t="shared" si="5"/>
        <v>0.33277027027027029</v>
      </c>
      <c r="F16" s="9">
        <f t="shared" si="5"/>
        <v>0.31931159099811723</v>
      </c>
      <c r="G16" s="9">
        <f t="shared" si="5"/>
        <v>0.3109019864054981</v>
      </c>
      <c r="H16" s="9">
        <f t="shared" si="5"/>
        <v>0.42682884568735491</v>
      </c>
      <c r="I16" s="9">
        <f t="shared" si="5"/>
        <v>0.48610884575653779</v>
      </c>
      <c r="J16" s="9">
        <f t="shared" si="5"/>
        <v>0.43997489145786473</v>
      </c>
      <c r="K16" s="9">
        <f t="shared" si="5"/>
        <v>0.41592598711382783</v>
      </c>
      <c r="L16" s="9">
        <f t="shared" si="5"/>
        <v>0.41671516327190428</v>
      </c>
    </row>
    <row r="18" spans="2:12" x14ac:dyDescent="0.2">
      <c r="B18" s="28" t="s">
        <v>126</v>
      </c>
      <c r="C18" s="27">
        <f>C12-C15</f>
        <v>17790</v>
      </c>
      <c r="D18" s="27">
        <f t="shared" ref="D18:L18" si="6">D12-D15</f>
        <v>15008</v>
      </c>
      <c r="E18" s="27">
        <f t="shared" si="6"/>
        <v>11923</v>
      </c>
      <c r="F18" s="27">
        <f t="shared" si="6"/>
        <v>11673</v>
      </c>
      <c r="G18" s="27">
        <f t="shared" si="6"/>
        <v>12192</v>
      </c>
      <c r="H18" s="27">
        <f t="shared" si="6"/>
        <v>6900</v>
      </c>
      <c r="I18" s="27">
        <f t="shared" si="6"/>
        <v>4042</v>
      </c>
      <c r="J18" s="27">
        <f t="shared" si="6"/>
        <v>6253</v>
      </c>
      <c r="K18" s="27">
        <f t="shared" si="6"/>
        <v>7512</v>
      </c>
      <c r="L18" s="27">
        <f t="shared" si="6"/>
        <v>8522</v>
      </c>
    </row>
    <row r="19" spans="2:12" x14ac:dyDescent="0.2">
      <c r="B19" s="23" t="s">
        <v>229</v>
      </c>
      <c r="C19" s="9">
        <f>C18/C6</f>
        <v>0.19171704762212666</v>
      </c>
      <c r="D19" s="9">
        <f t="shared" ref="D19:L19" si="7">D18/D6</f>
        <v>0.1836020650338871</v>
      </c>
      <c r="E19" s="9">
        <f t="shared" si="7"/>
        <v>0.14918668668668669</v>
      </c>
      <c r="F19" s="9">
        <f t="shared" si="7"/>
        <v>0.14749996841001276</v>
      </c>
      <c r="G19" s="9">
        <f t="shared" si="7"/>
        <v>0.15318314884848788</v>
      </c>
      <c r="H19" s="9">
        <f t="shared" si="7"/>
        <v>0.11955504730221436</v>
      </c>
      <c r="I19" s="9">
        <f t="shared" si="7"/>
        <v>7.3252505482158073E-2</v>
      </c>
      <c r="J19" s="9">
        <f t="shared" si="7"/>
        <v>0.10903035692490105</v>
      </c>
      <c r="K19" s="9">
        <f t="shared" si="7"/>
        <v>0.12410375020650917</v>
      </c>
      <c r="L19" s="9">
        <f t="shared" si="7"/>
        <v>0.13776268994503718</v>
      </c>
    </row>
    <row r="21" spans="2:12" x14ac:dyDescent="0.2">
      <c r="B21" s="19" t="s">
        <v>164</v>
      </c>
      <c r="C21" s="7">
        <f>('Income statement'!B19)*-1</f>
        <v>742</v>
      </c>
      <c r="D21" s="7">
        <f>('Income statement'!C19)*-1</f>
        <v>682</v>
      </c>
      <c r="E21" s="7">
        <f>('Income statement'!D19)*-1</f>
        <v>1631</v>
      </c>
      <c r="F21" s="7">
        <f>('Income statement'!E19)*-1</f>
        <v>1466</v>
      </c>
      <c r="G21" s="7">
        <f>('Income statement'!F19)*-1</f>
        <v>1026</v>
      </c>
      <c r="H21" s="7">
        <f>('Income statement'!G19)*-1</f>
        <v>639</v>
      </c>
      <c r="I21" s="7">
        <f>('Income statement'!H19)*-1</f>
        <v>620</v>
      </c>
      <c r="J21" s="7">
        <f>('Income statement'!I19)*-1</f>
        <v>612</v>
      </c>
      <c r="K21" s="7">
        <f>('Income statement'!J19)*-1</f>
        <v>663</v>
      </c>
      <c r="L21" s="7">
        <f>('Income statement'!K19)*-1</f>
        <v>860</v>
      </c>
    </row>
    <row r="22" spans="2:12" x14ac:dyDescent="0.2">
      <c r="B22" s="23" t="s">
        <v>163</v>
      </c>
      <c r="C22" s="9">
        <f>C21/C6</f>
        <v>7.9962928238121404E-3</v>
      </c>
      <c r="D22" s="9">
        <f t="shared" ref="D22:L22" si="8">D21/D6</f>
        <v>8.3433241173448171E-3</v>
      </c>
      <c r="E22" s="9">
        <f t="shared" si="8"/>
        <v>2.0407907907907908E-2</v>
      </c>
      <c r="F22" s="9">
        <f t="shared" si="8"/>
        <v>1.8524368516155118E-2</v>
      </c>
      <c r="G22" s="9">
        <f t="shared" si="8"/>
        <v>1.289090475053712E-2</v>
      </c>
      <c r="H22" s="9">
        <f t="shared" si="8"/>
        <v>1.1071836989292027E-2</v>
      </c>
      <c r="I22" s="9">
        <f t="shared" si="8"/>
        <v>1.123615868355715E-2</v>
      </c>
      <c r="J22" s="9">
        <f t="shared" si="8"/>
        <v>1.0671130407490716E-2</v>
      </c>
      <c r="K22" s="9">
        <f t="shared" si="8"/>
        <v>1.0953246324136792E-2</v>
      </c>
      <c r="L22" s="9">
        <f t="shared" si="8"/>
        <v>1.3902360168121564E-2</v>
      </c>
    </row>
    <row r="24" spans="2:12" x14ac:dyDescent="0.2">
      <c r="B24" s="14" t="s">
        <v>165</v>
      </c>
      <c r="C24" s="7">
        <f>('Income statement'!B20)*-1</f>
        <v>1938</v>
      </c>
      <c r="D24" s="7">
        <f>('Income statement'!C20)*-1</f>
        <v>724</v>
      </c>
      <c r="E24" s="7">
        <f>('Income statement'!D20)*-1</f>
        <v>-593</v>
      </c>
      <c r="F24" s="7">
        <f>('Income statement'!E20)*-1</f>
        <v>-1125</v>
      </c>
      <c r="G24" s="7">
        <f>('Income statement'!F20)*-1</f>
        <v>-1152</v>
      </c>
      <c r="H24" s="7">
        <f>('Income statement'!G20)*-1</f>
        <v>1012</v>
      </c>
      <c r="I24" s="7">
        <f>('Income statement'!H20)*-1</f>
        <v>-802</v>
      </c>
      <c r="J24" s="7">
        <f>('Income statement'!I20)*-1</f>
        <v>-873</v>
      </c>
      <c r="K24" s="7">
        <f>('Income statement'!J20)*-1</f>
        <v>-5803</v>
      </c>
      <c r="L24" s="7">
        <f>('Income statement'!K20)*-1</f>
        <v>914</v>
      </c>
    </row>
    <row r="25" spans="2:12" x14ac:dyDescent="0.2">
      <c r="B25" s="23" t="s">
        <v>166</v>
      </c>
      <c r="C25" s="9">
        <f>C24/C6</f>
        <v>2.0885196081600981E-2</v>
      </c>
      <c r="D25" s="9">
        <f t="shared" ref="D25:L25" si="9">D24/D6</f>
        <v>8.8571358665068146E-3</v>
      </c>
      <c r="E25" s="9">
        <f t="shared" si="9"/>
        <v>-7.4199199199199203E-3</v>
      </c>
      <c r="F25" s="9">
        <f t="shared" si="9"/>
        <v>-1.421549425694032E-2</v>
      </c>
      <c r="G25" s="9">
        <f t="shared" si="9"/>
        <v>-1.4473998316392556E-2</v>
      </c>
      <c r="H25" s="9">
        <f t="shared" si="9"/>
        <v>1.7534740270991441E-2</v>
      </c>
      <c r="I25" s="9">
        <f t="shared" si="9"/>
        <v>-1.4534514942278766E-2</v>
      </c>
      <c r="J25" s="9">
        <f t="shared" si="9"/>
        <v>-1.5222053669508814E-2</v>
      </c>
      <c r="K25" s="9">
        <f t="shared" si="9"/>
        <v>-9.5869816619857925E-2</v>
      </c>
      <c r="L25" s="9">
        <f t="shared" si="9"/>
        <v>1.4775299062398965E-2</v>
      </c>
    </row>
    <row r="27" spans="2:12" x14ac:dyDescent="0.2">
      <c r="B27" s="14" t="s">
        <v>162</v>
      </c>
      <c r="C27" s="7">
        <f>'Income statement'!B21</f>
        <v>484</v>
      </c>
      <c r="D27" s="7">
        <f>'Income statement'!C21</f>
        <v>468</v>
      </c>
      <c r="E27" s="7">
        <f>'Income statement'!D21</f>
        <v>630</v>
      </c>
      <c r="F27" s="7">
        <f>'Income statement'!E21</f>
        <v>615</v>
      </c>
      <c r="G27" s="7">
        <f>'Income statement'!F21</f>
        <v>723</v>
      </c>
      <c r="H27" s="7">
        <f>'Income statement'!G21</f>
        <v>1344</v>
      </c>
      <c r="I27" s="7">
        <f>'Income statement'!H21</f>
        <v>1288</v>
      </c>
      <c r="J27" s="7">
        <f>'Income statement'!I21</f>
        <v>1155</v>
      </c>
      <c r="K27" s="7">
        <f>'Income statement'!J21</f>
        <v>1216</v>
      </c>
      <c r="L27" s="7">
        <f>'Income statement'!K21</f>
        <v>1607</v>
      </c>
    </row>
    <row r="28" spans="2:12" x14ac:dyDescent="0.2">
      <c r="B28" s="23" t="s">
        <v>167</v>
      </c>
      <c r="C28" s="9">
        <f>C27/C6</f>
        <v>5.2159106829178922E-3</v>
      </c>
      <c r="D28" s="9">
        <f t="shared" ref="D28:L28" si="10">D27/D6</f>
        <v>5.7253309192336864E-3</v>
      </c>
      <c r="E28" s="9">
        <f t="shared" si="10"/>
        <v>7.8828828828828822E-3</v>
      </c>
      <c r="F28" s="9">
        <f t="shared" si="10"/>
        <v>7.7711368604607084E-3</v>
      </c>
      <c r="G28" s="9">
        <f t="shared" si="10"/>
        <v>9.083941651694287E-3</v>
      </c>
      <c r="H28" s="9">
        <f t="shared" si="10"/>
        <v>2.3287243996257406E-2</v>
      </c>
      <c r="I28" s="9">
        <f t="shared" si="10"/>
        <v>2.3342213523260661E-2</v>
      </c>
      <c r="J28" s="9">
        <f t="shared" si="10"/>
        <v>2.0139143170999633E-2</v>
      </c>
      <c r="K28" s="9">
        <f t="shared" si="10"/>
        <v>2.0089211961011069E-2</v>
      </c>
      <c r="L28" s="9">
        <f t="shared" si="10"/>
        <v>2.5978014872292274E-2</v>
      </c>
    </row>
    <row r="30" spans="2:12" x14ac:dyDescent="0.2">
      <c r="B30" s="28" t="s">
        <v>168</v>
      </c>
      <c r="C30" s="27">
        <f>C18+C21+C24-C27</f>
        <v>19986</v>
      </c>
      <c r="D30" s="27">
        <f t="shared" ref="D30:L30" si="11">D18+D21+D24-D27</f>
        <v>15946</v>
      </c>
      <c r="E30" s="27">
        <f t="shared" si="11"/>
        <v>12331</v>
      </c>
      <c r="F30" s="27">
        <f t="shared" si="11"/>
        <v>11399</v>
      </c>
      <c r="G30" s="27">
        <f t="shared" si="11"/>
        <v>11343</v>
      </c>
      <c r="H30" s="27">
        <f t="shared" si="11"/>
        <v>7207</v>
      </c>
      <c r="I30" s="27">
        <f t="shared" si="11"/>
        <v>2572</v>
      </c>
      <c r="J30" s="27">
        <f t="shared" si="11"/>
        <v>4837</v>
      </c>
      <c r="K30" s="27">
        <f t="shared" si="11"/>
        <v>1156</v>
      </c>
      <c r="L30" s="27">
        <f t="shared" si="11"/>
        <v>8689</v>
      </c>
    </row>
    <row r="31" spans="2:12" x14ac:dyDescent="0.2">
      <c r="B31" s="23" t="s">
        <v>238</v>
      </c>
      <c r="C31" s="9">
        <f>C30/C6</f>
        <v>0.21538262584462189</v>
      </c>
      <c r="D31" s="9">
        <f t="shared" ref="D31:L31" si="12">D30/D6</f>
        <v>0.19507719409850505</v>
      </c>
      <c r="E31" s="9">
        <f t="shared" si="12"/>
        <v>0.15429179179179178</v>
      </c>
      <c r="F31" s="9">
        <f t="shared" si="12"/>
        <v>0.14403770580876685</v>
      </c>
      <c r="G31" s="9">
        <f t="shared" si="12"/>
        <v>0.14251611363093816</v>
      </c>
      <c r="H31" s="9">
        <f t="shared" si="12"/>
        <v>0.12487438056624042</v>
      </c>
      <c r="I31" s="9">
        <f t="shared" si="12"/>
        <v>4.6611935700175793E-2</v>
      </c>
      <c r="J31" s="9">
        <f t="shared" si="12"/>
        <v>8.434029049188331E-2</v>
      </c>
      <c r="K31" s="9">
        <f t="shared" si="12"/>
        <v>1.9097967949776969E-2</v>
      </c>
      <c r="L31" s="9">
        <f t="shared" si="12"/>
        <v>0.14046233430326543</v>
      </c>
    </row>
    <row r="33" spans="2:12" x14ac:dyDescent="0.2">
      <c r="B33" s="14" t="s">
        <v>169</v>
      </c>
      <c r="C33" s="7">
        <f>'Income statement'!B24</f>
        <v>4234</v>
      </c>
      <c r="D33" s="7">
        <f>'Income statement'!C24</f>
        <v>2581</v>
      </c>
      <c r="E33" s="7">
        <f>'Income statement'!D24</f>
        <v>449</v>
      </c>
      <c r="F33" s="7">
        <f>'Income statement'!E24</f>
        <v>5642</v>
      </c>
      <c r="G33" s="7">
        <f>'Income statement'!F24</f>
        <v>2619</v>
      </c>
      <c r="H33" s="7">
        <f>'Income statement'!G24</f>
        <v>60</v>
      </c>
      <c r="I33" s="7">
        <f>'Income statement'!H24</f>
        <v>-1360</v>
      </c>
      <c r="J33" s="7">
        <f>'Income statement'!I24</f>
        <v>124</v>
      </c>
      <c r="K33" s="7">
        <f>'Income statement'!J24</f>
        <v>-626</v>
      </c>
      <c r="L33" s="7">
        <f>'Income statement'!K24</f>
        <v>1176</v>
      </c>
    </row>
    <row r="34" spans="2:12" x14ac:dyDescent="0.2">
      <c r="B34" s="23" t="s">
        <v>170</v>
      </c>
      <c r="C34" s="9">
        <f>C33/C30</f>
        <v>0.21184829380566397</v>
      </c>
      <c r="D34" s="9">
        <f t="shared" ref="D34:L34" si="13">D33/D30</f>
        <v>0.1618587733600903</v>
      </c>
      <c r="E34" s="9">
        <f t="shared" si="13"/>
        <v>3.6412294217824992E-2</v>
      </c>
      <c r="F34" s="9">
        <f t="shared" si="13"/>
        <v>0.49495569786823407</v>
      </c>
      <c r="G34" s="9">
        <f t="shared" si="13"/>
        <v>0.23089129859825444</v>
      </c>
      <c r="H34" s="9">
        <f t="shared" si="13"/>
        <v>8.3252393506313312E-3</v>
      </c>
      <c r="I34" s="9">
        <f t="shared" si="13"/>
        <v>-0.52877138413685842</v>
      </c>
      <c r="J34" s="9">
        <f t="shared" si="13"/>
        <v>2.5635724622700022E-2</v>
      </c>
      <c r="K34" s="9">
        <f t="shared" si="13"/>
        <v>-0.54152249134948094</v>
      </c>
      <c r="L34" s="9">
        <f t="shared" si="13"/>
        <v>0.13534353780642192</v>
      </c>
    </row>
    <row r="36" spans="2:12" x14ac:dyDescent="0.2">
      <c r="B36" s="14" t="s">
        <v>173</v>
      </c>
      <c r="C36" s="7">
        <f>C30-C33</f>
        <v>15752</v>
      </c>
      <c r="D36" s="7">
        <f t="shared" ref="D36:L36" si="14">D30-D33</f>
        <v>13365</v>
      </c>
      <c r="E36" s="7">
        <f t="shared" si="14"/>
        <v>11882</v>
      </c>
      <c r="F36" s="7">
        <f t="shared" si="14"/>
        <v>5757</v>
      </c>
      <c r="G36" s="7">
        <f t="shared" si="14"/>
        <v>8724</v>
      </c>
      <c r="H36" s="7">
        <f t="shared" si="14"/>
        <v>7147</v>
      </c>
      <c r="I36" s="7">
        <f t="shared" si="14"/>
        <v>3932</v>
      </c>
      <c r="J36" s="7">
        <f t="shared" si="14"/>
        <v>4713</v>
      </c>
      <c r="K36" s="7">
        <f t="shared" si="14"/>
        <v>1782</v>
      </c>
      <c r="L36" s="7">
        <f t="shared" si="14"/>
        <v>7513</v>
      </c>
    </row>
    <row r="37" spans="2:12" x14ac:dyDescent="0.2">
      <c r="B37" s="23" t="s">
        <v>172</v>
      </c>
      <c r="C37" s="9">
        <f>C36/C6</f>
        <v>0.16975418404405504</v>
      </c>
      <c r="D37" s="9">
        <f t="shared" ref="D37:L37" si="15">D36/D6</f>
        <v>0.16350223875119277</v>
      </c>
      <c r="E37" s="9">
        <f t="shared" si="15"/>
        <v>0.14867367367367368</v>
      </c>
      <c r="F37" s="9">
        <f t="shared" si="15"/>
        <v>7.2745422610849264E-2</v>
      </c>
      <c r="G37" s="9">
        <f t="shared" si="15"/>
        <v>0.10961038308351446</v>
      </c>
      <c r="H37" s="9">
        <f t="shared" si="15"/>
        <v>0.12383477145926465</v>
      </c>
      <c r="I37" s="9">
        <f t="shared" si="15"/>
        <v>7.1258993457655989E-2</v>
      </c>
      <c r="J37" s="9">
        <f t="shared" si="15"/>
        <v>8.2178166030234867E-2</v>
      </c>
      <c r="K37" s="9">
        <f t="shared" si="15"/>
        <v>2.9439947133652736E-2</v>
      </c>
      <c r="L37" s="9">
        <f t="shared" si="15"/>
        <v>0.12145166505011316</v>
      </c>
    </row>
    <row r="39" spans="2:12" x14ac:dyDescent="0.2">
      <c r="B39" s="14" t="s">
        <v>171</v>
      </c>
      <c r="C39" s="7">
        <f>'Income statement'!B26</f>
        <v>-3729</v>
      </c>
      <c r="D39" s="7">
        <f>'Income statement'!C26</f>
        <v>-174</v>
      </c>
      <c r="E39" s="7">
        <f>'Income statement'!D26</f>
        <v>-9</v>
      </c>
      <c r="F39" s="7">
        <f>'Income statement'!E26</f>
        <v>-5</v>
      </c>
      <c r="G39" s="7">
        <f>'Income statement'!F26</f>
        <v>5</v>
      </c>
      <c r="H39" s="7">
        <f>'Income statement'!G26</f>
        <v>2285</v>
      </c>
      <c r="I39" s="7">
        <f>'Income statement'!H26</f>
        <v>1658</v>
      </c>
      <c r="J39" s="7">
        <f>'Income statement'!I26</f>
        <v>1030</v>
      </c>
      <c r="K39" s="7">
        <f>'Income statement'!J26</f>
        <v>-143</v>
      </c>
      <c r="L39" s="7">
        <f>'Income statement'!K26</f>
        <v>-12</v>
      </c>
    </row>
    <row r="40" spans="2:12" x14ac:dyDescent="0.2">
      <c r="B40" s="23" t="s">
        <v>172</v>
      </c>
      <c r="C40" s="9">
        <f>C39/C6</f>
        <v>-4.0186220943390125E-2</v>
      </c>
      <c r="D40" s="9">
        <f t="shared" ref="D40:L40" si="16">D39/D6</f>
        <v>-2.1286486750997039E-3</v>
      </c>
      <c r="E40" s="9">
        <f t="shared" si="16"/>
        <v>-1.1261261261261261E-4</v>
      </c>
      <c r="F40" s="9">
        <f t="shared" si="16"/>
        <v>-6.3179974475290309E-5</v>
      </c>
      <c r="G40" s="9">
        <f t="shared" si="16"/>
        <v>6.2821173248231584E-5</v>
      </c>
      <c r="H40" s="9">
        <f t="shared" si="16"/>
        <v>3.9591780157327512E-2</v>
      </c>
      <c r="I40" s="9">
        <f t="shared" si="16"/>
        <v>3.0047663060222187E-2</v>
      </c>
      <c r="J40" s="9">
        <f t="shared" si="16"/>
        <v>1.795958222175725E-2</v>
      </c>
      <c r="K40" s="9">
        <f t="shared" si="16"/>
        <v>-2.3624648934412688E-3</v>
      </c>
      <c r="L40" s="9">
        <f t="shared" si="16"/>
        <v>-1.9398642095053346E-4</v>
      </c>
    </row>
    <row r="42" spans="2:12" x14ac:dyDescent="0.2">
      <c r="B42" s="28" t="s">
        <v>131</v>
      </c>
      <c r="C42" s="27">
        <f>C36+C39</f>
        <v>12023</v>
      </c>
      <c r="D42" s="27">
        <f t="shared" ref="D42:L42" si="17">D36+D39</f>
        <v>13191</v>
      </c>
      <c r="E42" s="27">
        <f t="shared" si="17"/>
        <v>11873</v>
      </c>
      <c r="F42" s="27">
        <f t="shared" si="17"/>
        <v>5752</v>
      </c>
      <c r="G42" s="27">
        <f t="shared" si="17"/>
        <v>8729</v>
      </c>
      <c r="H42" s="27">
        <f t="shared" si="17"/>
        <v>9432</v>
      </c>
      <c r="I42" s="27">
        <f t="shared" si="17"/>
        <v>5590</v>
      </c>
      <c r="J42" s="27">
        <f t="shared" si="17"/>
        <v>5743</v>
      </c>
      <c r="K42" s="27">
        <f t="shared" si="17"/>
        <v>1639</v>
      </c>
      <c r="L42" s="27">
        <f t="shared" si="17"/>
        <v>7501</v>
      </c>
    </row>
    <row r="43" spans="2:12" x14ac:dyDescent="0.2">
      <c r="B43" s="23" t="s">
        <v>235</v>
      </c>
      <c r="C43" s="9">
        <f>C42/C6</f>
        <v>0.12956796310066493</v>
      </c>
      <c r="D43" s="9">
        <f t="shared" ref="D43:L43" si="18">D42/D6</f>
        <v>0.16137359007609306</v>
      </c>
      <c r="E43" s="9">
        <f t="shared" si="18"/>
        <v>0.14856106106106107</v>
      </c>
      <c r="F43" s="9">
        <f t="shared" si="18"/>
        <v>7.2682242636373975E-2</v>
      </c>
      <c r="G43" s="9">
        <f t="shared" si="18"/>
        <v>0.1096732042567627</v>
      </c>
      <c r="H43" s="9">
        <f t="shared" si="18"/>
        <v>0.16342655161659217</v>
      </c>
      <c r="I43" s="9">
        <f t="shared" si="18"/>
        <v>0.10130665651787818</v>
      </c>
      <c r="J43" s="9">
        <f t="shared" si="18"/>
        <v>0.10013774825199212</v>
      </c>
      <c r="K43" s="9">
        <f t="shared" si="18"/>
        <v>2.7077482240211465E-2</v>
      </c>
      <c r="L43" s="9">
        <f t="shared" si="18"/>
        <v>0.12125767862916262</v>
      </c>
    </row>
    <row r="45" spans="2:12" x14ac:dyDescent="0.2">
      <c r="B45" s="14" t="s">
        <v>174</v>
      </c>
    </row>
    <row r="46" spans="2:12" x14ac:dyDescent="0.2">
      <c r="B46" s="14" t="s">
        <v>175</v>
      </c>
      <c r="C46" s="11">
        <f>C42/C50</f>
        <v>1010.3361344537815</v>
      </c>
      <c r="D46" s="11">
        <f t="shared" ref="D46:L46" si="19">D42/D50</f>
        <v>982.93591654247393</v>
      </c>
      <c r="E46" s="11">
        <f t="shared" si="19"/>
        <v>959.04684975767361</v>
      </c>
      <c r="F46" s="11">
        <f t="shared" si="19"/>
        <v>936.80781758957664</v>
      </c>
      <c r="G46" s="11">
        <f t="shared" si="19"/>
        <v>916.91176470588243</v>
      </c>
      <c r="H46" s="11">
        <f t="shared" si="19"/>
        <v>893.18181818181813</v>
      </c>
      <c r="I46" s="11">
        <f t="shared" si="19"/>
        <v>897.27126805778482</v>
      </c>
      <c r="J46" s="11">
        <f t="shared" si="19"/>
        <v>904.40944881889766</v>
      </c>
      <c r="K46" s="11">
        <f t="shared" si="19"/>
        <v>910.55555555555554</v>
      </c>
      <c r="L46" s="11">
        <f t="shared" si="19"/>
        <v>921.49877149877148</v>
      </c>
    </row>
    <row r="47" spans="2:12" x14ac:dyDescent="0.2">
      <c r="B47" s="14" t="s">
        <v>176</v>
      </c>
      <c r="C47" s="11">
        <f>C42/C52</f>
        <v>1004.4277360066833</v>
      </c>
      <c r="D47" s="11">
        <f t="shared" ref="D47:L47" si="20">D42/D52</f>
        <v>978.56083086053411</v>
      </c>
      <c r="E47" s="11">
        <f t="shared" si="20"/>
        <v>955.18905872888172</v>
      </c>
      <c r="F47" s="11">
        <f t="shared" si="20"/>
        <v>932.25283630470017</v>
      </c>
      <c r="G47" s="11">
        <f t="shared" si="20"/>
        <v>912.12121212121212</v>
      </c>
      <c r="H47" s="11">
        <f t="shared" si="20"/>
        <v>887.30009407337718</v>
      </c>
      <c r="I47" s="11">
        <f t="shared" si="20"/>
        <v>890.12738853503186</v>
      </c>
      <c r="J47" s="11">
        <f t="shared" si="20"/>
        <v>895.94383775351014</v>
      </c>
      <c r="K47" s="11">
        <f t="shared" si="20"/>
        <v>900.54945054945051</v>
      </c>
      <c r="L47" s="11">
        <f t="shared" si="20"/>
        <v>911.42162818955035</v>
      </c>
    </row>
    <row r="49" spans="1:12" x14ac:dyDescent="0.2">
      <c r="B49" s="14" t="s">
        <v>177</v>
      </c>
    </row>
    <row r="50" spans="1:12" x14ac:dyDescent="0.2">
      <c r="B50" s="14" t="s">
        <v>179</v>
      </c>
      <c r="C50" s="11">
        <f>'Income statement'!B31</f>
        <v>11.9</v>
      </c>
      <c r="D50" s="11">
        <f>'Income statement'!C31</f>
        <v>13.42</v>
      </c>
      <c r="E50" s="11">
        <f>'Income statement'!D31</f>
        <v>12.38</v>
      </c>
      <c r="F50" s="11">
        <f>'Income statement'!E31</f>
        <v>6.14</v>
      </c>
      <c r="G50" s="11">
        <f>'Income statement'!F31</f>
        <v>9.52</v>
      </c>
      <c r="H50" s="11">
        <f>'Income statement'!G31</f>
        <v>10.56</v>
      </c>
      <c r="I50" s="11">
        <f>'Income statement'!H31</f>
        <v>6.23</v>
      </c>
      <c r="J50" s="11">
        <f>'Income statement'!I31</f>
        <v>6.35</v>
      </c>
      <c r="K50" s="11">
        <f>'Income statement'!J31</f>
        <v>1.8</v>
      </c>
      <c r="L50" s="11">
        <f>'Income statement'!K31</f>
        <v>8.14</v>
      </c>
    </row>
    <row r="51" spans="1:12" x14ac:dyDescent="0.2">
      <c r="B51" s="23" t="s">
        <v>180</v>
      </c>
      <c r="C51" s="9" t="s">
        <v>58</v>
      </c>
      <c r="D51" s="9">
        <f>D50/C50-1</f>
        <v>0.12773109243697478</v>
      </c>
      <c r="E51" s="9">
        <f t="shared" ref="E51:L51" si="21">E50/D50-1</f>
        <v>-7.7496274217585648E-2</v>
      </c>
      <c r="F51" s="9">
        <f t="shared" si="21"/>
        <v>-0.50403877221324722</v>
      </c>
      <c r="G51" s="9">
        <f t="shared" si="21"/>
        <v>0.55048859934853422</v>
      </c>
      <c r="H51" s="9">
        <f t="shared" si="21"/>
        <v>0.10924369747899165</v>
      </c>
      <c r="I51" s="9">
        <f t="shared" si="21"/>
        <v>-0.41003787878787878</v>
      </c>
      <c r="J51" s="9">
        <f t="shared" si="21"/>
        <v>1.9261637239165186E-2</v>
      </c>
      <c r="K51" s="9">
        <f t="shared" si="21"/>
        <v>-0.7165354330708662</v>
      </c>
      <c r="L51" s="9">
        <f t="shared" si="21"/>
        <v>3.5222222222222221</v>
      </c>
    </row>
    <row r="52" spans="1:12" x14ac:dyDescent="0.2">
      <c r="B52" s="14" t="s">
        <v>178</v>
      </c>
      <c r="C52" s="10">
        <f>'Income statement'!B35</f>
        <v>11.97</v>
      </c>
      <c r="D52" s="10">
        <f>'Income statement'!C35</f>
        <v>13.48</v>
      </c>
      <c r="E52" s="10">
        <f>'Income statement'!D35</f>
        <v>12.43</v>
      </c>
      <c r="F52" s="10">
        <f>'Income statement'!E35</f>
        <v>6.17</v>
      </c>
      <c r="G52" s="10">
        <f>'Income statement'!F35</f>
        <v>9.57</v>
      </c>
      <c r="H52" s="10">
        <f>'Income statement'!G35</f>
        <v>10.63</v>
      </c>
      <c r="I52" s="10">
        <f>'Income statement'!H35</f>
        <v>6.28</v>
      </c>
      <c r="J52" s="10">
        <f>'Income statement'!I35</f>
        <v>6.41</v>
      </c>
      <c r="K52" s="10">
        <f>'Income statement'!J35</f>
        <v>1.82</v>
      </c>
      <c r="L52" s="10">
        <f>'Income statement'!K35</f>
        <v>8.23</v>
      </c>
    </row>
    <row r="53" spans="1:12" x14ac:dyDescent="0.2">
      <c r="B53" s="23" t="s">
        <v>181</v>
      </c>
      <c r="C53" s="9" t="s">
        <v>58</v>
      </c>
      <c r="D53" s="9">
        <f>D52/C52-1</f>
        <v>0.12614870509607345</v>
      </c>
      <c r="E53" s="9">
        <f t="shared" ref="E53:L53" si="22">E52/D52-1</f>
        <v>-7.7893175074184029E-2</v>
      </c>
      <c r="F53" s="9">
        <f t="shared" si="22"/>
        <v>-0.50362027353177796</v>
      </c>
      <c r="G53" s="9">
        <f t="shared" si="22"/>
        <v>0.55105348460291737</v>
      </c>
      <c r="H53" s="9">
        <f t="shared" si="22"/>
        <v>0.11076280041797282</v>
      </c>
      <c r="I53" s="9">
        <f t="shared" si="22"/>
        <v>-0.40921919096895576</v>
      </c>
      <c r="J53" s="9">
        <f t="shared" si="22"/>
        <v>2.070063694267521E-2</v>
      </c>
      <c r="K53" s="9">
        <f t="shared" si="22"/>
        <v>-0.7160686427457098</v>
      </c>
      <c r="L53" s="9">
        <f t="shared" si="22"/>
        <v>3.5219780219780219</v>
      </c>
    </row>
    <row r="56" spans="1:12" ht="15.75" x14ac:dyDescent="0.25">
      <c r="A56" s="5" t="s">
        <v>182</v>
      </c>
      <c r="B56" s="25" t="s">
        <v>147</v>
      </c>
      <c r="C56" s="12"/>
      <c r="D56" s="12"/>
      <c r="E56" s="12"/>
      <c r="F56" s="12"/>
      <c r="G56" s="12"/>
      <c r="H56" s="12"/>
      <c r="I56" s="12"/>
      <c r="J56" s="12"/>
      <c r="K56" s="12"/>
      <c r="L56" s="12"/>
    </row>
    <row r="57" spans="1:12" x14ac:dyDescent="0.2">
      <c r="B57" s="13" t="s">
        <v>50</v>
      </c>
    </row>
    <row r="58" spans="1:12" x14ac:dyDescent="0.2">
      <c r="B58" s="14" t="s">
        <v>49</v>
      </c>
    </row>
    <row r="59" spans="1:12" x14ac:dyDescent="0.2">
      <c r="B59" s="17" t="s">
        <v>184</v>
      </c>
      <c r="C59" s="7">
        <f>'Balance sheet'!B5</f>
        <v>8476</v>
      </c>
      <c r="D59" s="7">
        <f>'Balance sheet'!C5</f>
        <v>7687</v>
      </c>
      <c r="E59" s="7">
        <f>'Balance sheet'!D5</f>
        <v>8068</v>
      </c>
      <c r="F59" s="7">
        <f>'Balance sheet'!E5</f>
        <v>12230</v>
      </c>
      <c r="G59" s="7">
        <f>'Balance sheet'!F5</f>
        <v>11602</v>
      </c>
      <c r="H59" s="7">
        <f>'Balance sheet'!G5</f>
        <v>8314</v>
      </c>
      <c r="I59" s="7">
        <f>'Balance sheet'!H5</f>
        <v>13676</v>
      </c>
      <c r="J59" s="7">
        <f>'Balance sheet'!I5</f>
        <v>6959</v>
      </c>
      <c r="K59" s="7">
        <f>'Balance sheet'!J5</f>
        <v>7990</v>
      </c>
      <c r="L59" s="7">
        <f>'Balance sheet'!K5</f>
        <v>13089</v>
      </c>
    </row>
    <row r="60" spans="1:12" x14ac:dyDescent="0.2">
      <c r="B60" s="17" t="s">
        <v>185</v>
      </c>
      <c r="C60" s="7" t="str">
        <f>'Balance sheet'!B6</f>
        <v>—</v>
      </c>
      <c r="D60" s="7" t="str">
        <f>'Balance sheet'!C6</f>
        <v>—</v>
      </c>
      <c r="E60" s="7" t="str">
        <f>'Balance sheet'!D6</f>
        <v>—</v>
      </c>
      <c r="F60" s="7">
        <f>'Balance sheet'!E6</f>
        <v>262</v>
      </c>
      <c r="G60" s="7">
        <f>'Balance sheet'!F6</f>
        <v>225</v>
      </c>
      <c r="H60" s="7">
        <f>'Balance sheet'!G6</f>
        <v>141</v>
      </c>
      <c r="I60" s="7">
        <f>'Balance sheet'!H6</f>
        <v>463</v>
      </c>
      <c r="J60" s="7">
        <f>'Balance sheet'!I6</f>
        <v>307</v>
      </c>
      <c r="K60" s="7">
        <f>'Balance sheet'!J6</f>
        <v>103</v>
      </c>
      <c r="L60" s="7">
        <f>'Balance sheet'!K6</f>
        <v>22</v>
      </c>
    </row>
    <row r="61" spans="1:12" x14ac:dyDescent="0.2">
      <c r="B61" s="17" t="s">
        <v>186</v>
      </c>
      <c r="C61" s="7">
        <f>'Balance sheet'!B7</f>
        <v>0</v>
      </c>
      <c r="D61" s="7">
        <f>'Balance sheet'!C7</f>
        <v>507</v>
      </c>
      <c r="E61" s="7">
        <f>'Balance sheet'!D7</f>
        <v>701</v>
      </c>
      <c r="F61" s="7">
        <f>'Balance sheet'!E7</f>
        <v>608</v>
      </c>
      <c r="G61" s="7">
        <f>'Balance sheet'!F7</f>
        <v>618</v>
      </c>
      <c r="H61" s="7">
        <f>'Balance sheet'!G7</f>
        <v>696</v>
      </c>
      <c r="I61" s="7">
        <f>'Balance sheet'!H7</f>
        <v>600</v>
      </c>
      <c r="J61" s="7">
        <f>'Balance sheet'!I7</f>
        <v>600</v>
      </c>
      <c r="K61" s="7">
        <f>'Balance sheet'!J7</f>
        <v>748</v>
      </c>
      <c r="L61" s="7">
        <f>'Balance sheet'!K7</f>
        <v>373</v>
      </c>
    </row>
    <row r="62" spans="1:12" ht="30" x14ac:dyDescent="0.2">
      <c r="B62" s="19" t="s">
        <v>51</v>
      </c>
      <c r="C62" s="7">
        <f>'Balance sheet'!B8</f>
        <v>9090</v>
      </c>
      <c r="D62" s="7">
        <f>'Balance sheet'!C8</f>
        <v>8333</v>
      </c>
      <c r="E62" s="7">
        <f>'Balance sheet'!D8</f>
        <v>8940</v>
      </c>
      <c r="F62" s="7">
        <f>'Balance sheet'!E8</f>
        <v>8928</v>
      </c>
      <c r="G62" s="7">
        <f>'Balance sheet'!F8</f>
        <v>7432</v>
      </c>
      <c r="H62" s="7">
        <f>'Balance sheet'!G8</f>
        <v>7870</v>
      </c>
      <c r="I62" s="7">
        <f>'Balance sheet'!H8</f>
        <v>5790</v>
      </c>
      <c r="J62" s="7">
        <f>'Balance sheet'!I8</f>
        <v>6754</v>
      </c>
      <c r="K62" s="7">
        <f>'Balance sheet'!J8</f>
        <v>6541</v>
      </c>
      <c r="L62" s="7">
        <f>'Balance sheet'!K8</f>
        <v>7193</v>
      </c>
    </row>
    <row r="63" spans="1:12" x14ac:dyDescent="0.2">
      <c r="B63" s="19" t="s">
        <v>43</v>
      </c>
      <c r="C63" s="7">
        <f>'Balance sheet'!B9</f>
        <v>19835</v>
      </c>
      <c r="D63" s="7">
        <f>'Balance sheet'!C9</f>
        <v>19020</v>
      </c>
      <c r="E63" s="7">
        <f>'Balance sheet'!D9</f>
        <v>19006</v>
      </c>
      <c r="F63" s="7">
        <f>'Balance sheet'!E9</f>
        <v>21463</v>
      </c>
      <c r="G63" s="7">
        <f>'Balance sheet'!F9</f>
        <v>22165</v>
      </c>
      <c r="H63" s="7">
        <f>'Balance sheet'!G9</f>
        <v>14050</v>
      </c>
      <c r="I63" s="7">
        <v>0</v>
      </c>
      <c r="J63" s="7">
        <v>0</v>
      </c>
      <c r="K63" s="7">
        <v>0</v>
      </c>
      <c r="L63" s="7">
        <v>0</v>
      </c>
    </row>
    <row r="64" spans="1:12" x14ac:dyDescent="0.2">
      <c r="B64" s="17" t="s">
        <v>42</v>
      </c>
      <c r="C64" s="7" t="str">
        <f>'Balance sheet'!B10</f>
        <v>—</v>
      </c>
      <c r="D64" s="7" t="str">
        <f>'Balance sheet'!C10</f>
        <v>—</v>
      </c>
      <c r="E64" s="7" t="str">
        <f>'Balance sheet'!D10</f>
        <v>—</v>
      </c>
      <c r="F64" s="7" t="str">
        <f>'Balance sheet'!E10</f>
        <v>—</v>
      </c>
      <c r="G64" s="7" t="str">
        <f>'Balance sheet'!F10</f>
        <v>—</v>
      </c>
      <c r="H64" s="7" t="str">
        <f>'Balance sheet'!G10</f>
        <v>—</v>
      </c>
      <c r="I64" s="7">
        <f>'Balance sheet'!H10</f>
        <v>10021</v>
      </c>
      <c r="J64" s="7">
        <f>'Balance sheet'!I10</f>
        <v>7221</v>
      </c>
      <c r="K64" s="7">
        <f>'Balance sheet'!J10</f>
        <v>6851</v>
      </c>
      <c r="L64" s="7">
        <f>'Balance sheet'!K10</f>
        <v>6102</v>
      </c>
    </row>
    <row r="65" spans="2:12" x14ac:dyDescent="0.2">
      <c r="B65" s="17" t="s">
        <v>41</v>
      </c>
      <c r="C65" s="7" t="str">
        <f>'Balance sheet'!B11</f>
        <v>—</v>
      </c>
      <c r="D65" s="7" t="str">
        <f>'Balance sheet'!C11</f>
        <v>—</v>
      </c>
      <c r="E65" s="7" t="str">
        <f>'Balance sheet'!D11</f>
        <v>—</v>
      </c>
      <c r="F65" s="7" t="str">
        <f>'Balance sheet'!E11</f>
        <v>—</v>
      </c>
      <c r="G65" s="7" t="str">
        <f>'Balance sheet'!F11</f>
        <v>—</v>
      </c>
      <c r="H65" s="7" t="str">
        <f>'Balance sheet'!G11</f>
        <v>—</v>
      </c>
      <c r="I65" s="7">
        <f>'Balance sheet'!H11</f>
        <v>383</v>
      </c>
      <c r="J65" s="7">
        <f>'Balance sheet'!I11</f>
        <v>793</v>
      </c>
      <c r="K65" s="7">
        <f>'Balance sheet'!J11</f>
        <v>938</v>
      </c>
      <c r="L65" s="7">
        <f>'Balance sheet'!K11</f>
        <v>692</v>
      </c>
    </row>
    <row r="66" spans="2:12" x14ac:dyDescent="0.2">
      <c r="B66" s="19" t="s">
        <v>52</v>
      </c>
      <c r="C66" s="7">
        <f>'Balance sheet'!B12</f>
        <v>2906</v>
      </c>
      <c r="D66" s="7">
        <f>'Balance sheet'!C12</f>
        <v>1201</v>
      </c>
      <c r="E66" s="7">
        <f>'Balance sheet'!D12</f>
        <v>1057</v>
      </c>
      <c r="F66" s="7">
        <f>'Balance sheet'!E12</f>
        <v>981</v>
      </c>
      <c r="G66" s="7">
        <f>'Balance sheet'!F12</f>
        <v>743</v>
      </c>
      <c r="H66" s="7">
        <f>'Balance sheet'!G12</f>
        <v>1733</v>
      </c>
      <c r="I66" s="7">
        <f>'Balance sheet'!H12</f>
        <v>695</v>
      </c>
      <c r="J66" s="7">
        <f>'Balance sheet'!I12</f>
        <v>1002</v>
      </c>
      <c r="K66" s="7">
        <f>'Balance sheet'!J12</f>
        <v>817</v>
      </c>
      <c r="L66" s="7">
        <f>'Balance sheet'!K12</f>
        <v>640</v>
      </c>
    </row>
    <row r="67" spans="2:12" x14ac:dyDescent="0.2">
      <c r="B67" s="17" t="s">
        <v>187</v>
      </c>
      <c r="C67" s="7">
        <f>'Balance sheet'!B13</f>
        <v>2103</v>
      </c>
      <c r="D67" s="7">
        <f>'Balance sheet'!C13</f>
        <v>1551</v>
      </c>
      <c r="E67" s="7">
        <f>'Balance sheet'!D13</f>
        <v>1553</v>
      </c>
      <c r="F67" s="7">
        <f>'Balance sheet'!E13</f>
        <v>1583</v>
      </c>
      <c r="G67" s="7">
        <f>'Balance sheet'!F13</f>
        <v>1682</v>
      </c>
      <c r="H67" s="7">
        <f>'Balance sheet'!G13</f>
        <v>1619</v>
      </c>
      <c r="I67" s="7">
        <f>'Balance sheet'!H13</f>
        <v>1812</v>
      </c>
      <c r="J67" s="7">
        <f>'Balance sheet'!I13</f>
        <v>1649</v>
      </c>
      <c r="K67" s="7">
        <f>'Balance sheet'!J13</f>
        <v>1552</v>
      </c>
      <c r="L67" s="7">
        <f>'Balance sheet'!K13</f>
        <v>1161</v>
      </c>
    </row>
    <row r="68" spans="2:12" x14ac:dyDescent="0.2">
      <c r="B68" s="17" t="s">
        <v>188</v>
      </c>
      <c r="C68" s="7" t="str">
        <f>'Balance sheet'!B14</f>
        <v>—</v>
      </c>
      <c r="D68" s="7" t="str">
        <f>'Balance sheet'!C14</f>
        <v>—</v>
      </c>
      <c r="E68" s="7" t="str">
        <f>'Balance sheet'!D14</f>
        <v>—</v>
      </c>
      <c r="F68" s="7">
        <f>'Balance sheet'!E14</f>
        <v>1820</v>
      </c>
      <c r="G68" s="7">
        <f>'Balance sheet'!F14</f>
        <v>2300</v>
      </c>
      <c r="H68" s="7">
        <f>'Balance sheet'!G14</f>
        <v>1896</v>
      </c>
      <c r="I68" s="7">
        <f>'Balance sheet'!H14</f>
        <v>1018</v>
      </c>
      <c r="J68" s="7">
        <f>'Balance sheet'!I14</f>
        <v>1097</v>
      </c>
      <c r="K68" s="7">
        <f>'Balance sheet'!J14</f>
        <v>967</v>
      </c>
      <c r="L68" s="7">
        <f>'Balance sheet'!K14</f>
        <v>998</v>
      </c>
    </row>
    <row r="69" spans="2:12" x14ac:dyDescent="0.2">
      <c r="B69" s="17" t="s">
        <v>189</v>
      </c>
      <c r="C69" s="7">
        <f>'Balance sheet'!B15</f>
        <v>4967</v>
      </c>
      <c r="D69" s="7">
        <f>'Balance sheet'!C15</f>
        <v>4205</v>
      </c>
      <c r="E69" s="7">
        <f>'Balance sheet'!D15</f>
        <v>4564</v>
      </c>
      <c r="F69" s="7">
        <f>'Balance sheet'!E15</f>
        <v>1860</v>
      </c>
      <c r="G69" s="7">
        <f>'Balance sheet'!F15</f>
        <v>2378</v>
      </c>
      <c r="H69" s="7">
        <f>'Balance sheet'!G15</f>
        <v>2101</v>
      </c>
      <c r="I69" s="7">
        <f>'Balance sheet'!H15</f>
        <v>2089</v>
      </c>
      <c r="J69" s="7">
        <f>'Balance sheet'!I15</f>
        <v>3157</v>
      </c>
      <c r="K69" s="7">
        <f>'Balance sheet'!J15</f>
        <v>2611</v>
      </c>
      <c r="L69" s="7">
        <f>'Balance sheet'!K15</f>
        <v>2639</v>
      </c>
    </row>
    <row r="70" spans="2:12" x14ac:dyDescent="0.2">
      <c r="B70" s="17" t="s">
        <v>44</v>
      </c>
      <c r="C70" s="7" t="str">
        <f>'Balance sheet'!B16</f>
        <v>—</v>
      </c>
      <c r="D70" s="7" t="str">
        <f>'Balance sheet'!C16</f>
        <v>—</v>
      </c>
      <c r="E70" s="7" t="str">
        <f>'Balance sheet'!D16</f>
        <v>—</v>
      </c>
      <c r="F70" s="7" t="str">
        <f>'Balance sheet'!E16</f>
        <v>—</v>
      </c>
      <c r="G70" s="7" t="str">
        <f>'Balance sheet'!F16</f>
        <v>—</v>
      </c>
      <c r="H70" s="7" t="str">
        <f>'Balance sheet'!G16</f>
        <v>—</v>
      </c>
      <c r="I70" s="7">
        <f>'Balance sheet'!H16</f>
        <v>2618</v>
      </c>
      <c r="J70" s="7" t="str">
        <f>'Balance sheet'!I16</f>
        <v>—</v>
      </c>
      <c r="K70" s="7" t="str">
        <f>'Balance sheet'!J16</f>
        <v>—</v>
      </c>
      <c r="L70" s="7" t="str">
        <f>'Balance sheet'!K16</f>
        <v>—</v>
      </c>
    </row>
    <row r="71" spans="2:12" x14ac:dyDescent="0.2">
      <c r="B71" s="26" t="s">
        <v>190</v>
      </c>
      <c r="C71" s="27">
        <f>'Balance sheet'!B17</f>
        <v>47377</v>
      </c>
      <c r="D71" s="27">
        <f>'Balance sheet'!C17</f>
        <v>42504</v>
      </c>
      <c r="E71" s="27">
        <f>'Balance sheet'!D17</f>
        <v>43889</v>
      </c>
      <c r="F71" s="27">
        <f>'Balance sheet'!E17</f>
        <v>49735</v>
      </c>
      <c r="G71" s="27">
        <f>'Balance sheet'!F17</f>
        <v>49145</v>
      </c>
      <c r="H71" s="27">
        <f>'Balance sheet'!G17</f>
        <v>38420</v>
      </c>
      <c r="I71" s="27">
        <f>'Balance sheet'!H17</f>
        <v>39165</v>
      </c>
      <c r="J71" s="27">
        <f>'Balance sheet'!I17</f>
        <v>29539</v>
      </c>
      <c r="K71" s="27">
        <f>'Balance sheet'!J17</f>
        <v>29118</v>
      </c>
      <c r="L71" s="27">
        <f>'Balance sheet'!K17</f>
        <v>32909</v>
      </c>
    </row>
    <row r="72" spans="2:12" x14ac:dyDescent="0.2">
      <c r="B72" s="15"/>
      <c r="C72" s="16"/>
      <c r="D72" s="16"/>
      <c r="E72" s="16"/>
      <c r="F72" s="16"/>
      <c r="G72" s="16"/>
      <c r="H72" s="16"/>
      <c r="I72" s="16"/>
      <c r="J72" s="16"/>
      <c r="K72" s="16"/>
      <c r="L72" s="16"/>
    </row>
    <row r="73" spans="2:12" x14ac:dyDescent="0.2">
      <c r="B73" s="17" t="s">
        <v>191</v>
      </c>
      <c r="C73" s="7">
        <f>'Balance sheet'!B18</f>
        <v>39034</v>
      </c>
      <c r="D73" s="7">
        <f>'Balance sheet'!C18</f>
        <v>29342</v>
      </c>
      <c r="E73" s="7">
        <f>'Balance sheet'!D18</f>
        <v>30133</v>
      </c>
      <c r="F73" s="7">
        <f>'Balance sheet'!E18</f>
        <v>32331</v>
      </c>
      <c r="G73" s="7">
        <f>'Balance sheet'!F18</f>
        <v>32460</v>
      </c>
      <c r="H73" s="7">
        <f>'Balance sheet'!G18</f>
        <v>32028</v>
      </c>
      <c r="I73" s="7">
        <f>'Balance sheet'!H18</f>
        <v>20100</v>
      </c>
      <c r="J73" s="7">
        <f>'Balance sheet'!I18</f>
        <v>20085</v>
      </c>
      <c r="K73" s="7">
        <f>'Balance sheet'!J18</f>
        <v>18695</v>
      </c>
      <c r="L73" s="7">
        <f>'Balance sheet'!K18</f>
        <v>18122</v>
      </c>
    </row>
    <row r="74" spans="2:12" x14ac:dyDescent="0.2">
      <c r="B74" s="17" t="s">
        <v>192</v>
      </c>
      <c r="C74" s="7">
        <f>'Balance sheet'!B19</f>
        <v>28263</v>
      </c>
      <c r="D74" s="7">
        <f>'Balance sheet'!C19</f>
        <v>18615</v>
      </c>
      <c r="E74" s="7">
        <f>'Balance sheet'!D19</f>
        <v>19303</v>
      </c>
      <c r="F74" s="7">
        <f>'Balance sheet'!E19</f>
        <v>21215</v>
      </c>
      <c r="G74" s="7">
        <f>'Balance sheet'!F19</f>
        <v>21668</v>
      </c>
      <c r="H74" s="7">
        <f>'Balance sheet'!G19</f>
        <v>22018</v>
      </c>
      <c r="I74" s="7">
        <f>'Balance sheet'!H19</f>
        <v>13895</v>
      </c>
      <c r="J74" s="7">
        <f>'Balance sheet'!I19</f>
        <v>14390</v>
      </c>
      <c r="K74" s="7">
        <f>'Balance sheet'!J19</f>
        <v>13361</v>
      </c>
      <c r="L74" s="7">
        <f>'Balance sheet'!K19</f>
        <v>12621</v>
      </c>
    </row>
    <row r="75" spans="2:12" x14ac:dyDescent="0.2">
      <c r="B75" s="17" t="s">
        <v>193</v>
      </c>
      <c r="C75" s="7">
        <f>'Balance sheet'!B20</f>
        <v>10771</v>
      </c>
      <c r="D75" s="7">
        <f>'Balance sheet'!C20</f>
        <v>10727</v>
      </c>
      <c r="E75" s="7">
        <f>'Balance sheet'!D20</f>
        <v>10830</v>
      </c>
      <c r="F75" s="7">
        <f>'Balance sheet'!E20</f>
        <v>11116</v>
      </c>
      <c r="G75" s="7">
        <f>'Balance sheet'!F20</f>
        <v>10792</v>
      </c>
      <c r="H75" s="7">
        <f>'Balance sheet'!G20</f>
        <v>10010</v>
      </c>
      <c r="I75" s="7">
        <f>'Balance sheet'!H20</f>
        <v>6205</v>
      </c>
      <c r="J75" s="7">
        <f>'Balance sheet'!I20</f>
        <v>5694</v>
      </c>
      <c r="K75" s="7">
        <f>'Balance sheet'!J20</f>
        <v>5334</v>
      </c>
      <c r="L75" s="7">
        <f>'Balance sheet'!K20</f>
        <v>5501</v>
      </c>
    </row>
    <row r="76" spans="2:12" x14ac:dyDescent="0.2">
      <c r="B76" s="18" t="s">
        <v>40</v>
      </c>
      <c r="C76" s="7" t="str">
        <f>'Balance sheet'!B21</f>
        <v>—</v>
      </c>
      <c r="D76" s="7" t="str">
        <f>'Balance sheet'!C21</f>
        <v>—</v>
      </c>
      <c r="E76" s="7" t="str">
        <f>'Balance sheet'!D21</f>
        <v>—</v>
      </c>
      <c r="F76" s="7" t="str">
        <f>'Balance sheet'!E21</f>
        <v>—</v>
      </c>
      <c r="G76" s="7" t="str">
        <f>'Balance sheet'!F21</f>
        <v>—</v>
      </c>
      <c r="H76" s="7">
        <f>'Balance sheet'!G21</f>
        <v>4995</v>
      </c>
      <c r="I76" s="7">
        <f>'Balance sheet'!H21</f>
        <v>3566</v>
      </c>
      <c r="J76" s="7">
        <f>'Balance sheet'!I21</f>
        <v>3222</v>
      </c>
      <c r="K76" s="7">
        <f>'Balance sheet'!J21</f>
        <v>2878</v>
      </c>
      <c r="L76" s="7">
        <f>'Balance sheet'!K21</f>
        <v>3220</v>
      </c>
    </row>
    <row r="77" spans="2:12" x14ac:dyDescent="0.2">
      <c r="B77" s="19" t="s">
        <v>56</v>
      </c>
      <c r="C77" s="7">
        <f>'Balance sheet'!B22</f>
        <v>11109</v>
      </c>
      <c r="D77" s="7">
        <f>'Balance sheet'!C22</f>
        <v>10013</v>
      </c>
      <c r="E77" s="7">
        <f>'Balance sheet'!D22</f>
        <v>9021</v>
      </c>
      <c r="F77" s="7">
        <f>'Balance sheet'!E22</f>
        <v>9550</v>
      </c>
      <c r="G77" s="7">
        <f>'Balance sheet'!F22</f>
        <v>9148</v>
      </c>
      <c r="H77" s="7">
        <f>'Balance sheet'!G22</f>
        <v>8712</v>
      </c>
      <c r="I77" s="7">
        <f>'Balance sheet'!H22</f>
        <v>7086</v>
      </c>
      <c r="J77" s="7">
        <f>'Balance sheet'!I22</f>
        <v>5425</v>
      </c>
      <c r="K77" s="7">
        <f>'Balance sheet'!J22</f>
        <v>5806</v>
      </c>
      <c r="L77" s="7">
        <f>'Balance sheet'!K22</f>
        <v>5766</v>
      </c>
    </row>
    <row r="78" spans="2:12" x14ac:dyDescent="0.2">
      <c r="B78" s="17" t="s">
        <v>194</v>
      </c>
      <c r="C78" s="7">
        <f>'Balance sheet'!B23</f>
        <v>2160</v>
      </c>
      <c r="D78" s="7">
        <f>'Balance sheet'!C23</f>
        <v>1734</v>
      </c>
      <c r="E78" s="7">
        <f>'Balance sheet'!D23</f>
        <v>3034</v>
      </c>
      <c r="F78" s="7">
        <f>'Balance sheet'!E23</f>
        <v>4643</v>
      </c>
      <c r="G78" s="7">
        <f>'Balance sheet'!F23</f>
        <v>4666</v>
      </c>
      <c r="H78" s="7">
        <f>'Balance sheet'!G23</f>
        <v>6865</v>
      </c>
      <c r="I78" s="7">
        <f>'Balance sheet'!H23</f>
        <v>7557</v>
      </c>
      <c r="J78" s="7">
        <f>'Balance sheet'!I23</f>
        <v>9850</v>
      </c>
      <c r="K78" s="7">
        <f>'Balance sheet'!J23</f>
        <v>8236</v>
      </c>
      <c r="L78" s="7">
        <f>'Balance sheet'!K23</f>
        <v>7506</v>
      </c>
    </row>
    <row r="79" spans="2:12" x14ac:dyDescent="0.2">
      <c r="B79" s="17" t="s">
        <v>188</v>
      </c>
      <c r="C79" s="7" t="str">
        <f>'Balance sheet'!B24</f>
        <v>—</v>
      </c>
      <c r="D79" s="7" t="str">
        <f>'Balance sheet'!C24</f>
        <v>—</v>
      </c>
      <c r="E79" s="7" t="str">
        <f>'Balance sheet'!D24</f>
        <v>—</v>
      </c>
      <c r="F79" s="7">
        <f>'Balance sheet'!E24</f>
        <v>2136</v>
      </c>
      <c r="G79" s="7">
        <f>'Balance sheet'!F24</f>
        <v>2676</v>
      </c>
      <c r="H79" s="7">
        <f>'Balance sheet'!G24</f>
        <v>2472</v>
      </c>
      <c r="I79" s="7">
        <f>'Balance sheet'!H24</f>
        <v>1150</v>
      </c>
      <c r="J79" s="7">
        <f>'Balance sheet'!I24</f>
        <v>924</v>
      </c>
      <c r="K79" s="7">
        <f>'Balance sheet'!J24</f>
        <v>865</v>
      </c>
      <c r="L79" s="7">
        <f>'Balance sheet'!K24</f>
        <v>842</v>
      </c>
    </row>
    <row r="80" spans="2:12" x14ac:dyDescent="0.2">
      <c r="B80" s="17" t="s">
        <v>195</v>
      </c>
      <c r="C80" s="7">
        <f>'Balance sheet'!B25</f>
        <v>6675</v>
      </c>
      <c r="D80" s="7">
        <f>'Balance sheet'!C25</f>
        <v>4822</v>
      </c>
      <c r="E80" s="7">
        <f>'Balance sheet'!D25</f>
        <v>5224</v>
      </c>
      <c r="F80" s="7">
        <f>'Balance sheet'!E25</f>
        <v>4862</v>
      </c>
      <c r="G80" s="7">
        <f>'Balance sheet'!F25</f>
        <v>5216</v>
      </c>
      <c r="H80" s="7">
        <f>'Balance sheet'!G25</f>
        <v>5182</v>
      </c>
      <c r="I80" s="7">
        <f>'Balance sheet'!H25</f>
        <v>8404</v>
      </c>
      <c r="J80" s="7">
        <f>'Balance sheet'!I25</f>
        <v>7370</v>
      </c>
      <c r="K80" s="7">
        <f>'Balance sheet'!J25</f>
        <v>6256</v>
      </c>
      <c r="L80" s="7">
        <f>'Balance sheet'!K25</f>
        <v>6656</v>
      </c>
    </row>
    <row r="81" spans="2:12" x14ac:dyDescent="0.2">
      <c r="B81" s="17" t="s">
        <v>196</v>
      </c>
      <c r="C81" s="7">
        <f>'Balance sheet'!B26</f>
        <v>30556</v>
      </c>
      <c r="D81" s="7">
        <f>'Balance sheet'!C26</f>
        <v>32021</v>
      </c>
      <c r="E81" s="7">
        <f>'Balance sheet'!D26</f>
        <v>36199</v>
      </c>
      <c r="F81" s="7">
        <f>'Balance sheet'!E26</f>
        <v>36788</v>
      </c>
      <c r="G81" s="7">
        <f>'Balance sheet'!F26</f>
        <v>36265</v>
      </c>
      <c r="H81" s="7">
        <f>'Balance sheet'!G26</f>
        <v>58222</v>
      </c>
      <c r="I81" s="7">
        <f>'Balance sheet'!H26</f>
        <v>53765</v>
      </c>
      <c r="J81" s="7">
        <f>'Balance sheet'!I26</f>
        <v>55643</v>
      </c>
      <c r="K81" s="7">
        <f>'Balance sheet'!J26</f>
        <v>55949</v>
      </c>
      <c r="L81" s="7">
        <f>'Balance sheet'!K26</f>
        <v>60178</v>
      </c>
    </row>
    <row r="82" spans="2:12" x14ac:dyDescent="0.2">
      <c r="B82" s="17" t="s">
        <v>197</v>
      </c>
      <c r="C82" s="7">
        <f>'Balance sheet'!B27</f>
        <v>3104</v>
      </c>
      <c r="D82" s="7">
        <f>'Balance sheet'!C27</f>
        <v>3487</v>
      </c>
      <c r="E82" s="7">
        <f>'Balance sheet'!D27</f>
        <v>4688</v>
      </c>
      <c r="F82" s="7">
        <f>'Balance sheet'!E27</f>
        <v>3742</v>
      </c>
      <c r="G82" s="7">
        <f>'Balance sheet'!F27</f>
        <v>3087</v>
      </c>
      <c r="H82" s="7">
        <f>'Balance sheet'!G27</f>
        <v>15235</v>
      </c>
      <c r="I82" s="7">
        <f>'Balance sheet'!H27</f>
        <v>13739</v>
      </c>
      <c r="J82" s="7">
        <f>'Balance sheet'!I27</f>
        <v>12511</v>
      </c>
      <c r="K82" s="7">
        <f>'Balance sheet'!J27</f>
        <v>11184</v>
      </c>
      <c r="L82" s="7">
        <f>'Balance sheet'!K27</f>
        <v>11036</v>
      </c>
    </row>
    <row r="83" spans="2:12" x14ac:dyDescent="0.2">
      <c r="B83" s="17" t="s">
        <v>198</v>
      </c>
      <c r="C83" s="7">
        <f>'Balance sheet'!B28</f>
        <v>5520</v>
      </c>
      <c r="D83" s="7">
        <f>'Balance sheet'!C28</f>
        <v>5187</v>
      </c>
      <c r="E83" s="7">
        <f>'Balance sheet'!D28</f>
        <v>4585</v>
      </c>
      <c r="F83" s="7">
        <f>'Balance sheet'!E28</f>
        <v>2783</v>
      </c>
      <c r="G83" s="7">
        <f>'Balance sheet'!F28</f>
        <v>2386</v>
      </c>
      <c r="H83" s="7">
        <f>'Balance sheet'!G28</f>
        <v>2074</v>
      </c>
      <c r="I83" s="7">
        <f>'Balance sheet'!H28</f>
        <v>2187</v>
      </c>
      <c r="J83" s="7">
        <f>'Balance sheet'!I28</f>
        <v>1823</v>
      </c>
      <c r="K83" s="7">
        <f>'Balance sheet'!J28</f>
        <v>1617</v>
      </c>
      <c r="L83" s="7">
        <f>'Balance sheet'!K28</f>
        <v>1626</v>
      </c>
    </row>
    <row r="84" spans="2:12" x14ac:dyDescent="0.2">
      <c r="B84" s="17" t="s">
        <v>45</v>
      </c>
      <c r="C84" s="7" t="str">
        <f>'Balance sheet'!B29</f>
        <v>—</v>
      </c>
      <c r="D84" s="7" t="str">
        <f>'Balance sheet'!C29</f>
        <v>—</v>
      </c>
      <c r="E84" s="7" t="str">
        <f>'Balance sheet'!D29</f>
        <v>—</v>
      </c>
      <c r="F84" s="7" t="str">
        <f>'Balance sheet'!E29</f>
        <v>—</v>
      </c>
      <c r="G84" s="7" t="str">
        <f>'Balance sheet'!F29</f>
        <v>—</v>
      </c>
      <c r="H84" s="7" t="str">
        <f>'Balance sheet'!G29</f>
        <v>—</v>
      </c>
      <c r="I84" s="7">
        <f>'Balance sheet'!H29</f>
        <v>13147</v>
      </c>
      <c r="J84" s="7" t="str">
        <f>'Balance sheet'!I29</f>
        <v>—</v>
      </c>
      <c r="K84" s="7" t="str">
        <f>'Balance sheet'!J29</f>
        <v>—</v>
      </c>
      <c r="L84" s="7" t="str">
        <f>'Balance sheet'!K29</f>
        <v>—</v>
      </c>
    </row>
    <row r="85" spans="2:12" x14ac:dyDescent="0.2">
      <c r="B85" s="26" t="s">
        <v>63</v>
      </c>
      <c r="C85" s="27">
        <f>'Balance sheet'!B30</f>
        <v>69895</v>
      </c>
      <c r="D85" s="27">
        <f>'Balance sheet'!C30</f>
        <v>67991</v>
      </c>
      <c r="E85" s="27">
        <f>'Balance sheet'!D30</f>
        <v>73581</v>
      </c>
      <c r="F85" s="27">
        <f>'Balance sheet'!E30</f>
        <v>75620</v>
      </c>
      <c r="G85" s="27">
        <f>'Balance sheet'!F30</f>
        <v>74236</v>
      </c>
      <c r="H85" s="27">
        <f>'Balance sheet'!G30</f>
        <v>113767</v>
      </c>
      <c r="I85" s="27">
        <f>'Balance sheet'!H30</f>
        <v>116806</v>
      </c>
      <c r="J85" s="27">
        <f>'Balance sheet'!I30</f>
        <v>102462</v>
      </c>
      <c r="K85" s="27">
        <f>'Balance sheet'!J30</f>
        <v>98125</v>
      </c>
      <c r="L85" s="27">
        <f>'Balance sheet'!K30</f>
        <v>102331</v>
      </c>
    </row>
    <row r="86" spans="2:12" x14ac:dyDescent="0.2">
      <c r="B86" s="15"/>
      <c r="C86" s="16"/>
      <c r="D86" s="16"/>
      <c r="E86" s="16"/>
      <c r="F86" s="16"/>
      <c r="G86" s="16"/>
      <c r="H86" s="16"/>
      <c r="I86" s="16"/>
      <c r="J86" s="16"/>
      <c r="K86" s="16"/>
      <c r="L86" s="16"/>
    </row>
    <row r="87" spans="2:12" x14ac:dyDescent="0.2">
      <c r="B87" s="26" t="s">
        <v>199</v>
      </c>
      <c r="C87" s="27">
        <f>'Balance sheet'!B31</f>
        <v>117272</v>
      </c>
      <c r="D87" s="27">
        <f>'Balance sheet'!C31</f>
        <v>110495</v>
      </c>
      <c r="E87" s="27">
        <f>'Balance sheet'!D31</f>
        <v>117470</v>
      </c>
      <c r="F87" s="27">
        <f>'Balance sheet'!E31</f>
        <v>125355</v>
      </c>
      <c r="G87" s="27">
        <f>'Balance sheet'!F31</f>
        <v>123381</v>
      </c>
      <c r="H87" s="27">
        <f>'Balance sheet'!G31</f>
        <v>152187</v>
      </c>
      <c r="I87" s="27">
        <f>'Balance sheet'!H31</f>
        <v>155971</v>
      </c>
      <c r="J87" s="27">
        <f>'Balance sheet'!I31</f>
        <v>132001</v>
      </c>
      <c r="K87" s="27">
        <f>'Balance sheet'!J31</f>
        <v>127243</v>
      </c>
      <c r="L87" s="27">
        <f>'Balance sheet'!K31</f>
        <v>135240</v>
      </c>
    </row>
    <row r="88" spans="2:12" x14ac:dyDescent="0.2">
      <c r="B88" s="15"/>
      <c r="C88" s="16"/>
      <c r="D88" s="16"/>
      <c r="E88" s="16"/>
      <c r="F88" s="16"/>
      <c r="G88" s="16"/>
      <c r="H88" s="16"/>
      <c r="I88" s="16"/>
      <c r="J88" s="16"/>
      <c r="K88" s="16"/>
      <c r="L88" s="16"/>
    </row>
    <row r="89" spans="2:12" x14ac:dyDescent="0.2">
      <c r="B89" s="13" t="s">
        <v>54</v>
      </c>
      <c r="C89" s="7"/>
      <c r="D89" s="7"/>
      <c r="E89" s="7"/>
      <c r="F89" s="7"/>
      <c r="G89" s="7"/>
      <c r="H89" s="7"/>
      <c r="I89" s="7"/>
      <c r="J89" s="7"/>
      <c r="K89" s="7"/>
      <c r="L89" s="7"/>
    </row>
    <row r="90" spans="2:12" x14ac:dyDescent="0.2">
      <c r="B90" s="14" t="s">
        <v>53</v>
      </c>
      <c r="C90" s="7"/>
      <c r="D90" s="7"/>
      <c r="E90" s="7"/>
      <c r="F90" s="7"/>
      <c r="G90" s="7"/>
      <c r="H90" s="7"/>
      <c r="I90" s="7"/>
      <c r="J90" s="7"/>
      <c r="K90" s="7"/>
      <c r="L90" s="7"/>
    </row>
    <row r="91" spans="2:12" x14ac:dyDescent="0.2">
      <c r="B91" s="17" t="s">
        <v>200</v>
      </c>
      <c r="C91" s="7">
        <f>'Balance sheet'!B34</f>
        <v>5084</v>
      </c>
      <c r="D91" s="7">
        <f>'Balance sheet'!C34</f>
        <v>2847</v>
      </c>
      <c r="E91" s="7">
        <f>'Balance sheet'!D34</f>
        <v>3235</v>
      </c>
      <c r="F91" s="7">
        <f>'Balance sheet'!E34</f>
        <v>4219</v>
      </c>
      <c r="G91" s="7">
        <f>'Balance sheet'!F34</f>
        <v>3046</v>
      </c>
      <c r="H91" s="7">
        <f>'Balance sheet'!G34</f>
        <v>2839</v>
      </c>
      <c r="I91" s="7">
        <f>'Balance sheet'!H34</f>
        <v>3198</v>
      </c>
      <c r="J91" s="7">
        <f>'Balance sheet'!I34</f>
        <v>2289</v>
      </c>
      <c r="K91" s="7">
        <f>'Balance sheet'!J34</f>
        <v>2196</v>
      </c>
      <c r="L91" s="7">
        <f>'Balance sheet'!K34</f>
        <v>2270</v>
      </c>
    </row>
    <row r="92" spans="2:12" x14ac:dyDescent="0.2">
      <c r="B92" s="17" t="s">
        <v>201</v>
      </c>
      <c r="C92" s="7">
        <f>'Balance sheet'!B35</f>
        <v>5731</v>
      </c>
      <c r="D92" s="7">
        <f>'Balance sheet'!C35</f>
        <v>6461</v>
      </c>
      <c r="E92" s="7">
        <f>'Balance sheet'!D35</f>
        <v>7513</v>
      </c>
      <c r="F92" s="7">
        <f>'Balance sheet'!E35</f>
        <v>6987</v>
      </c>
      <c r="G92" s="7">
        <f>'Balance sheet'!F35</f>
        <v>10207</v>
      </c>
      <c r="H92" s="7">
        <f>'Balance sheet'!G35</f>
        <v>8797</v>
      </c>
      <c r="I92" s="7">
        <f>'Balance sheet'!H35</f>
        <v>7116</v>
      </c>
      <c r="J92" s="7">
        <f>'Balance sheet'!I35</f>
        <v>6787</v>
      </c>
      <c r="K92" s="7">
        <f>'Balance sheet'!J35</f>
        <v>4760</v>
      </c>
      <c r="L92" s="7">
        <f>'Balance sheet'!K35</f>
        <v>6426</v>
      </c>
    </row>
    <row r="93" spans="2:12" x14ac:dyDescent="0.2">
      <c r="B93" s="17" t="s">
        <v>202</v>
      </c>
      <c r="C93" s="7">
        <f>'Balance sheet'!B36</f>
        <v>6864</v>
      </c>
      <c r="D93" s="7">
        <f>'Balance sheet'!C36</f>
        <v>6028</v>
      </c>
      <c r="E93" s="7">
        <f>'Balance sheet'!D36</f>
        <v>6209</v>
      </c>
      <c r="F93" s="7">
        <f>'Balance sheet'!E36</f>
        <v>6451</v>
      </c>
      <c r="G93" s="7">
        <f>'Balance sheet'!F36</f>
        <v>6558</v>
      </c>
      <c r="H93" s="7">
        <f>'Balance sheet'!G36</f>
        <v>4896</v>
      </c>
      <c r="I93" s="7">
        <f>'Balance sheet'!H36</f>
        <v>4033</v>
      </c>
      <c r="J93" s="7">
        <f>'Balance sheet'!I36</f>
        <v>3955</v>
      </c>
      <c r="K93" s="7">
        <f>'Balance sheet'!J36</f>
        <v>4051</v>
      </c>
      <c r="L93" s="7">
        <f>'Balance sheet'!K36</f>
        <v>4132</v>
      </c>
    </row>
    <row r="94" spans="2:12" x14ac:dyDescent="0.2">
      <c r="B94" s="17" t="s">
        <v>203</v>
      </c>
      <c r="C94" s="7">
        <f>'Balance sheet'!B37</f>
        <v>4031</v>
      </c>
      <c r="D94" s="7">
        <f>'Balance sheet'!C37</f>
        <v>3560</v>
      </c>
      <c r="E94" s="7">
        <f>'Balance sheet'!D37</f>
        <v>3577</v>
      </c>
      <c r="F94" s="7">
        <f>'Balance sheet'!E37</f>
        <v>3644</v>
      </c>
      <c r="G94" s="7">
        <f>'Balance sheet'!F37</f>
        <v>3310</v>
      </c>
      <c r="H94" s="7">
        <f>'Balance sheet'!G37</f>
        <v>3406</v>
      </c>
      <c r="I94" s="7">
        <f>'Balance sheet'!H37</f>
        <v>3056</v>
      </c>
      <c r="J94" s="7">
        <f>'Balance sheet'!I37</f>
        <v>3204</v>
      </c>
      <c r="K94" s="7">
        <f>'Balance sheet'!J37</f>
        <v>3481</v>
      </c>
      <c r="L94" s="7">
        <f>'Balance sheet'!K37</f>
        <v>3501</v>
      </c>
    </row>
    <row r="95" spans="2:12" x14ac:dyDescent="0.2">
      <c r="B95" s="17" t="s">
        <v>204</v>
      </c>
      <c r="C95" s="7">
        <f>'Balance sheet'!B38</f>
        <v>11877</v>
      </c>
      <c r="D95" s="7">
        <f>'Balance sheet'!C38</f>
        <v>11021</v>
      </c>
      <c r="E95" s="7">
        <f>'Balance sheet'!D38</f>
        <v>11035</v>
      </c>
      <c r="F95" s="7">
        <f>'Balance sheet'!E38</f>
        <v>11552</v>
      </c>
      <c r="G95" s="7">
        <f>'Balance sheet'!F38</f>
        <v>11165</v>
      </c>
      <c r="H95" s="7">
        <f>'Balance sheet'!G38</f>
        <v>12026</v>
      </c>
      <c r="I95" s="7">
        <f>'Balance sheet'!H38</f>
        <v>11980</v>
      </c>
      <c r="J95" s="7">
        <f>'Balance sheet'!I38</f>
        <v>12518</v>
      </c>
      <c r="K95" s="7">
        <f>'Balance sheet'!J38</f>
        <v>12032</v>
      </c>
      <c r="L95" s="7">
        <f>'Balance sheet'!K38</f>
        <v>13451</v>
      </c>
    </row>
    <row r="96" spans="2:12" x14ac:dyDescent="0.2">
      <c r="B96" s="18" t="s">
        <v>39</v>
      </c>
      <c r="C96" s="7" t="str">
        <f>'Balance sheet'!B39</f>
        <v>—</v>
      </c>
      <c r="D96" s="7" t="str">
        <f>'Balance sheet'!C39</f>
        <v>—</v>
      </c>
      <c r="E96" s="7" t="str">
        <f>'Balance sheet'!D39</f>
        <v>—</v>
      </c>
      <c r="F96" s="7" t="str">
        <f>'Balance sheet'!E39</f>
        <v>—</v>
      </c>
      <c r="G96" s="7" t="str">
        <f>'Balance sheet'!F39</f>
        <v>—</v>
      </c>
      <c r="H96" s="7">
        <f>'Balance sheet'!G39</f>
        <v>1380</v>
      </c>
      <c r="I96" s="7">
        <f>'Balance sheet'!H39</f>
        <v>1035</v>
      </c>
      <c r="J96" s="7">
        <f>'Balance sheet'!I39</f>
        <v>974</v>
      </c>
      <c r="K96" s="7">
        <f>'Balance sheet'!J39</f>
        <v>874</v>
      </c>
      <c r="L96" s="7">
        <f>'Balance sheet'!K39</f>
        <v>820</v>
      </c>
    </row>
    <row r="97" spans="2:12" x14ac:dyDescent="0.2">
      <c r="B97" s="17" t="s">
        <v>205</v>
      </c>
      <c r="C97" s="7">
        <f>'Balance sheet'!B40</f>
        <v>5994</v>
      </c>
      <c r="D97" s="7">
        <f>'Balance sheet'!C40</f>
        <v>4353</v>
      </c>
      <c r="E97" s="7">
        <f>'Balance sheet'!D40</f>
        <v>4706</v>
      </c>
      <c r="F97" s="7">
        <f>'Balance sheet'!E40</f>
        <v>4510</v>
      </c>
      <c r="G97" s="7">
        <f>'Balance sheet'!F40</f>
        <v>3941</v>
      </c>
      <c r="H97" s="7">
        <f>'Balance sheet'!G40</f>
        <v>4358</v>
      </c>
      <c r="I97" s="7">
        <f>'Balance sheet'!H40</f>
        <v>5632</v>
      </c>
      <c r="J97" s="7">
        <f>'Balance sheet'!I40</f>
        <v>3892</v>
      </c>
      <c r="K97" s="7">
        <f>'Balance sheet'!J40</f>
        <v>4111</v>
      </c>
      <c r="L97" s="7">
        <f>'Balance sheet'!K40</f>
        <v>3521</v>
      </c>
    </row>
    <row r="98" spans="2:12" x14ac:dyDescent="0.2">
      <c r="B98" s="18" t="s">
        <v>206</v>
      </c>
      <c r="C98" s="7" t="str">
        <f>'Balance sheet'!B41</f>
        <v>—</v>
      </c>
      <c r="D98" s="7" t="str">
        <f>'Balance sheet'!C41</f>
        <v>—</v>
      </c>
      <c r="E98" s="7" t="str">
        <f>'Balance sheet'!D41</f>
        <v>—</v>
      </c>
      <c r="F98" s="7" t="str">
        <f>'Balance sheet'!E41</f>
        <v>—</v>
      </c>
      <c r="G98" s="7" t="str">
        <f>'Balance sheet'!F41</f>
        <v>—</v>
      </c>
      <c r="H98" s="7" t="str">
        <f>'Balance sheet'!G41</f>
        <v>—</v>
      </c>
      <c r="I98" s="7">
        <f>'Balance sheet'!H41</f>
        <v>3819</v>
      </c>
      <c r="J98" s="7" t="str">
        <f>'Balance sheet'!I41</f>
        <v>—</v>
      </c>
      <c r="K98" s="7" t="str">
        <f>'Balance sheet'!J41</f>
        <v>—</v>
      </c>
      <c r="L98" s="7" t="str">
        <f>'Balance sheet'!K41</f>
        <v>—</v>
      </c>
    </row>
    <row r="99" spans="2:12" x14ac:dyDescent="0.2">
      <c r="B99" s="26" t="s">
        <v>207</v>
      </c>
      <c r="C99" s="27">
        <f>'Balance sheet'!B42</f>
        <v>39581</v>
      </c>
      <c r="D99" s="27">
        <f>'Balance sheet'!C42</f>
        <v>34270</v>
      </c>
      <c r="E99" s="27">
        <f>'Balance sheet'!D42</f>
        <v>36275</v>
      </c>
      <c r="F99" s="27">
        <f>'Balance sheet'!E42</f>
        <v>37363</v>
      </c>
      <c r="G99" s="27">
        <f>'Balance sheet'!F42</f>
        <v>38227</v>
      </c>
      <c r="H99" s="27">
        <f>'Balance sheet'!G42</f>
        <v>37702</v>
      </c>
      <c r="I99" s="27">
        <f>'Balance sheet'!H42</f>
        <v>39869</v>
      </c>
      <c r="J99" s="27">
        <f>'Balance sheet'!I42</f>
        <v>33619</v>
      </c>
      <c r="K99" s="27">
        <f>'Balance sheet'!J42</f>
        <v>31505</v>
      </c>
      <c r="L99" s="27">
        <f>'Balance sheet'!K42</f>
        <v>34121</v>
      </c>
    </row>
    <row r="100" spans="2:12" x14ac:dyDescent="0.2">
      <c r="B100" s="15"/>
      <c r="C100" s="16"/>
      <c r="D100" s="16"/>
      <c r="E100" s="16"/>
      <c r="F100" s="16"/>
      <c r="G100" s="16"/>
      <c r="H100" s="16"/>
      <c r="I100" s="16"/>
      <c r="J100" s="16"/>
      <c r="K100" s="16"/>
      <c r="L100" s="16"/>
    </row>
    <row r="101" spans="2:12" x14ac:dyDescent="0.2">
      <c r="B101" s="17" t="s">
        <v>208</v>
      </c>
      <c r="C101" s="7">
        <f>'Balance sheet'!B43</f>
        <v>34991</v>
      </c>
      <c r="D101" s="7">
        <f>'Balance sheet'!C43</f>
        <v>33428</v>
      </c>
      <c r="E101" s="7">
        <f>'Balance sheet'!D43</f>
        <v>34655</v>
      </c>
      <c r="F101" s="7">
        <f>'Balance sheet'!E43</f>
        <v>39837</v>
      </c>
      <c r="G101" s="7">
        <f>'Balance sheet'!F43</f>
        <v>35605</v>
      </c>
      <c r="H101" s="7">
        <f>'Balance sheet'!G43</f>
        <v>54102</v>
      </c>
      <c r="I101" s="7">
        <f>'Balance sheet'!H43</f>
        <v>54217</v>
      </c>
      <c r="J101" s="7">
        <f>'Balance sheet'!I43</f>
        <v>44917</v>
      </c>
      <c r="K101" s="7">
        <f>'Balance sheet'!J43</f>
        <v>46189</v>
      </c>
      <c r="L101" s="7">
        <f>'Balance sheet'!K43</f>
        <v>50121</v>
      </c>
    </row>
    <row r="102" spans="2:12" ht="30" x14ac:dyDescent="0.2">
      <c r="B102" s="17" t="s">
        <v>209</v>
      </c>
      <c r="C102" s="7">
        <f>'Balance sheet'!B44</f>
        <v>18261</v>
      </c>
      <c r="D102" s="7">
        <f>'Balance sheet'!C44</f>
        <v>16504</v>
      </c>
      <c r="E102" s="7">
        <f>'Balance sheet'!D44</f>
        <v>17070</v>
      </c>
      <c r="F102" s="7">
        <f>'Balance sheet'!E44</f>
        <v>16720</v>
      </c>
      <c r="G102" s="7">
        <f>'Balance sheet'!F44</f>
        <v>17002</v>
      </c>
      <c r="H102" s="7">
        <f>'Balance sheet'!G44</f>
        <v>17142</v>
      </c>
      <c r="I102" s="7">
        <f>'Balance sheet'!H44</f>
        <v>17184</v>
      </c>
      <c r="J102" s="7">
        <f>'Balance sheet'!I44</f>
        <v>14435</v>
      </c>
      <c r="K102" s="7">
        <f>'Balance sheet'!J44</f>
        <v>9596</v>
      </c>
      <c r="L102" s="7">
        <f>'Balance sheet'!K44</f>
        <v>10808</v>
      </c>
    </row>
    <row r="103" spans="2:12" x14ac:dyDescent="0.2">
      <c r="B103" s="17" t="s">
        <v>204</v>
      </c>
      <c r="C103" s="7">
        <f>'Balance sheet'!B45</f>
        <v>3691</v>
      </c>
      <c r="D103" s="7">
        <f>'Balance sheet'!C45</f>
        <v>3771</v>
      </c>
      <c r="E103" s="7">
        <f>'Balance sheet'!D45</f>
        <v>3600</v>
      </c>
      <c r="F103" s="7">
        <f>'Balance sheet'!E45</f>
        <v>3746</v>
      </c>
      <c r="G103" s="7">
        <f>'Balance sheet'!F45</f>
        <v>3445</v>
      </c>
      <c r="H103" s="7">
        <f>'Balance sheet'!G45</f>
        <v>3851</v>
      </c>
      <c r="I103" s="7">
        <f>'Balance sheet'!H45</f>
        <v>3758</v>
      </c>
      <c r="J103" s="7">
        <f>'Balance sheet'!I45</f>
        <v>3577</v>
      </c>
      <c r="K103" s="7">
        <f>'Balance sheet'!J45</f>
        <v>3499</v>
      </c>
      <c r="L103" s="7">
        <f>'Balance sheet'!K45</f>
        <v>3533</v>
      </c>
    </row>
    <row r="104" spans="2:12" x14ac:dyDescent="0.2">
      <c r="B104" s="18" t="s">
        <v>39</v>
      </c>
      <c r="C104" s="7" t="str">
        <f>'Balance sheet'!B46</f>
        <v>—</v>
      </c>
      <c r="D104" s="7" t="str">
        <f>'Balance sheet'!C46</f>
        <v>—</v>
      </c>
      <c r="E104" s="7" t="str">
        <f>'Balance sheet'!D46</f>
        <v>—</v>
      </c>
      <c r="F104" s="7" t="str">
        <f>'Balance sheet'!E46</f>
        <v>—</v>
      </c>
      <c r="G104" s="7" t="str">
        <f>'Balance sheet'!F46</f>
        <v>—</v>
      </c>
      <c r="H104" s="7">
        <f>'Balance sheet'!G46</f>
        <v>3879</v>
      </c>
      <c r="I104" s="7">
        <f>'Balance sheet'!H46</f>
        <v>2720</v>
      </c>
      <c r="J104" s="7">
        <f>'Balance sheet'!I46</f>
        <v>2462</v>
      </c>
      <c r="K104" s="7">
        <f>'Balance sheet'!J46</f>
        <v>2190</v>
      </c>
      <c r="L104" s="7">
        <f>'Balance sheet'!K46</f>
        <v>2568</v>
      </c>
    </row>
    <row r="105" spans="2:12" x14ac:dyDescent="0.2">
      <c r="B105" s="17" t="s">
        <v>210</v>
      </c>
      <c r="C105" s="7">
        <f>'Balance sheet'!B47</f>
        <v>8733</v>
      </c>
      <c r="D105" s="7">
        <f>'Balance sheet'!C47</f>
        <v>8099</v>
      </c>
      <c r="E105" s="7">
        <f>'Balance sheet'!D47</f>
        <v>7478</v>
      </c>
      <c r="F105" s="7">
        <f>'Balance sheet'!E47</f>
        <v>9965</v>
      </c>
      <c r="G105" s="7">
        <f>'Balance sheet'!F47</f>
        <v>12173</v>
      </c>
      <c r="H105" s="7">
        <f>'Balance sheet'!G47</f>
        <v>14526</v>
      </c>
      <c r="I105" s="7">
        <f>'Balance sheet'!H47</f>
        <v>14180</v>
      </c>
      <c r="J105" s="7">
        <f>'Balance sheet'!I47</f>
        <v>13995</v>
      </c>
      <c r="K105" s="7">
        <f>'Balance sheet'!J47</f>
        <v>12243</v>
      </c>
      <c r="L105" s="7">
        <f>'Balance sheet'!K47</f>
        <v>11475</v>
      </c>
    </row>
    <row r="106" spans="2:12" x14ac:dyDescent="0.2">
      <c r="B106" s="17" t="s">
        <v>46</v>
      </c>
      <c r="C106" s="7" t="str">
        <f>'Balance sheet'!B48</f>
        <v>—</v>
      </c>
      <c r="D106" s="7" t="str">
        <f>'Balance sheet'!C48</f>
        <v>—</v>
      </c>
      <c r="E106" s="7" t="str">
        <f>'Balance sheet'!D48</f>
        <v>—</v>
      </c>
      <c r="F106" s="7" t="str">
        <f>'Balance sheet'!E48</f>
        <v>—</v>
      </c>
      <c r="G106" s="7" t="str">
        <f>'Balance sheet'!F48</f>
        <v>—</v>
      </c>
      <c r="H106" s="7" t="str">
        <f>'Balance sheet'!G48</f>
        <v>—</v>
      </c>
      <c r="I106" s="7">
        <f>'Balance sheet'!H48</f>
        <v>3317</v>
      </c>
      <c r="J106" s="7" t="str">
        <f>'Balance sheet'!I48</f>
        <v>—</v>
      </c>
      <c r="K106" s="7" t="str">
        <f>'Balance sheet'!J48</f>
        <v>—</v>
      </c>
      <c r="L106" s="7" t="str">
        <f>'Balance sheet'!K48</f>
        <v>—</v>
      </c>
    </row>
    <row r="107" spans="2:12" x14ac:dyDescent="0.2">
      <c r="B107" s="26" t="s">
        <v>65</v>
      </c>
      <c r="C107" s="27">
        <f>'Balance sheet'!B49</f>
        <v>65676</v>
      </c>
      <c r="D107" s="27">
        <f>'Balance sheet'!C49</f>
        <v>61802</v>
      </c>
      <c r="E107" s="27">
        <f>'Balance sheet'!D49</f>
        <v>62803</v>
      </c>
      <c r="F107" s="27">
        <f>'Balance sheet'!E49</f>
        <v>70268</v>
      </c>
      <c r="G107" s="27">
        <f>'Balance sheet'!F49</f>
        <v>68225</v>
      </c>
      <c r="H107" s="27">
        <f>'Balance sheet'!G49</f>
        <v>93500</v>
      </c>
      <c r="I107" s="27">
        <f>'Balance sheet'!H49</f>
        <v>95376</v>
      </c>
      <c r="J107" s="27">
        <f>'Balance sheet'!I49</f>
        <v>79386</v>
      </c>
      <c r="K107" s="27">
        <f>'Balance sheet'!J49</f>
        <v>73717</v>
      </c>
      <c r="L107" s="27">
        <f>'Balance sheet'!K49</f>
        <v>78505</v>
      </c>
    </row>
    <row r="108" spans="2:12" x14ac:dyDescent="0.2">
      <c r="B108" s="15"/>
      <c r="C108" s="16"/>
      <c r="D108" s="16"/>
      <c r="E108" s="16"/>
      <c r="F108" s="16"/>
      <c r="G108" s="16"/>
      <c r="H108" s="16"/>
      <c r="I108" s="16"/>
      <c r="J108" s="16"/>
      <c r="K108" s="16"/>
      <c r="L108" s="16"/>
    </row>
    <row r="109" spans="2:12" x14ac:dyDescent="0.2">
      <c r="B109" s="26" t="s">
        <v>211</v>
      </c>
      <c r="C109" s="27">
        <f>'Balance sheet'!B50</f>
        <v>105257</v>
      </c>
      <c r="D109" s="27">
        <f>'Balance sheet'!C50</f>
        <v>96072</v>
      </c>
      <c r="E109" s="27">
        <f>'Balance sheet'!D50</f>
        <v>99078</v>
      </c>
      <c r="F109" s="27">
        <f>'Balance sheet'!E50</f>
        <v>107631</v>
      </c>
      <c r="G109" s="27">
        <f>'Balance sheet'!F50</f>
        <v>106452</v>
      </c>
      <c r="H109" s="27">
        <f>'Balance sheet'!G50</f>
        <v>131202</v>
      </c>
      <c r="I109" s="27">
        <f>'Balance sheet'!H50</f>
        <v>135245</v>
      </c>
      <c r="J109" s="27">
        <f>'Balance sheet'!I50</f>
        <v>113005</v>
      </c>
      <c r="K109" s="27">
        <f>'Balance sheet'!J50</f>
        <v>105222</v>
      </c>
      <c r="L109" s="27">
        <f>'Balance sheet'!K50</f>
        <v>112626</v>
      </c>
    </row>
    <row r="110" spans="2:12" x14ac:dyDescent="0.2">
      <c r="B110" s="15"/>
      <c r="C110" s="16"/>
      <c r="D110" s="16"/>
      <c r="E110" s="16"/>
      <c r="F110" s="16"/>
      <c r="G110" s="16"/>
      <c r="H110" s="16"/>
      <c r="I110" s="16"/>
      <c r="J110" s="16"/>
      <c r="K110" s="16"/>
      <c r="L110" s="16"/>
    </row>
    <row r="111" spans="2:12" x14ac:dyDescent="0.2">
      <c r="B111" s="17" t="s">
        <v>212</v>
      </c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 spans="2:12" x14ac:dyDescent="0.2">
      <c r="B112" s="17" t="s">
        <v>213</v>
      </c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r="113" spans="1:13" x14ac:dyDescent="0.2">
      <c r="B113" s="17" t="s">
        <v>214</v>
      </c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spans="1:13" ht="30" x14ac:dyDescent="0.2">
      <c r="B114" s="19" t="s">
        <v>55</v>
      </c>
      <c r="C114" s="7">
        <f>'Balance sheet'!B54</f>
        <v>52666</v>
      </c>
      <c r="D114" s="7">
        <f>'Balance sheet'!C54</f>
        <v>53262</v>
      </c>
      <c r="E114" s="7">
        <f>'Balance sheet'!D54</f>
        <v>53935</v>
      </c>
      <c r="F114" s="7">
        <f>'Balance sheet'!E54</f>
        <v>54566</v>
      </c>
      <c r="G114" s="7">
        <f>'Balance sheet'!F54</f>
        <v>55151</v>
      </c>
      <c r="H114" s="7">
        <f>'Balance sheet'!G54</f>
        <v>55895</v>
      </c>
      <c r="I114" s="7">
        <f>'Balance sheet'!H54</f>
        <v>56556</v>
      </c>
      <c r="J114" s="7">
        <f>'Balance sheet'!I54</f>
        <v>57319</v>
      </c>
      <c r="K114" s="7">
        <f>'Balance sheet'!J54</f>
        <v>58343</v>
      </c>
      <c r="L114" s="7">
        <f>'Balance sheet'!K54</f>
        <v>59643</v>
      </c>
    </row>
    <row r="115" spans="1:13" x14ac:dyDescent="0.2">
      <c r="B115" s="17" t="s">
        <v>215</v>
      </c>
      <c r="C115" s="7">
        <f>'Balance sheet'!B55</f>
        <v>137793</v>
      </c>
      <c r="D115" s="7">
        <f>'Balance sheet'!C55</f>
        <v>146124</v>
      </c>
      <c r="E115" s="7">
        <f>'Balance sheet'!D55</f>
        <v>152759</v>
      </c>
      <c r="F115" s="7">
        <f>'Balance sheet'!E55</f>
        <v>153126</v>
      </c>
      <c r="G115" s="7">
        <f>'Balance sheet'!F55</f>
        <v>159205</v>
      </c>
      <c r="H115" s="7">
        <f>'Balance sheet'!G55</f>
        <v>162956</v>
      </c>
      <c r="I115" s="7">
        <f>'Balance sheet'!H55</f>
        <v>162717</v>
      </c>
      <c r="J115" s="7">
        <f>'Balance sheet'!I55</f>
        <v>154208</v>
      </c>
      <c r="K115" s="7">
        <f>'Balance sheet'!J55</f>
        <v>149825</v>
      </c>
      <c r="L115" s="7">
        <f>'Balance sheet'!K55</f>
        <v>151276</v>
      </c>
    </row>
    <row r="116" spans="1:13" x14ac:dyDescent="0.2">
      <c r="B116" s="19" t="s">
        <v>57</v>
      </c>
      <c r="C116" s="7">
        <f>'Balance sheet'!B56</f>
        <v>-150715</v>
      </c>
      <c r="D116" s="7">
        <f>'Balance sheet'!C56</f>
        <v>-155518</v>
      </c>
      <c r="E116" s="7">
        <f>'Balance sheet'!D56</f>
        <v>-159050</v>
      </c>
      <c r="F116" s="7">
        <f>'Balance sheet'!E56</f>
        <v>-163507</v>
      </c>
      <c r="G116" s="7">
        <f>'Balance sheet'!F56</f>
        <v>-168071</v>
      </c>
      <c r="H116" s="7">
        <f>'Balance sheet'!G56</f>
        <v>-169413</v>
      </c>
      <c r="I116" s="7">
        <f>'Balance sheet'!H56</f>
        <v>-169339</v>
      </c>
      <c r="J116" s="7">
        <f>'Balance sheet'!I56</f>
        <v>-169392</v>
      </c>
      <c r="K116" s="7">
        <f>'Balance sheet'!J56</f>
        <v>-169484</v>
      </c>
      <c r="L116" s="7">
        <f>'Balance sheet'!K56</f>
        <v>-169624</v>
      </c>
    </row>
    <row r="117" spans="1:13" x14ac:dyDescent="0.2">
      <c r="B117" s="17" t="s">
        <v>216</v>
      </c>
      <c r="C117" s="7">
        <f>'Balance sheet'!B57</f>
        <v>-27875</v>
      </c>
      <c r="D117" s="7">
        <f>'Balance sheet'!C57</f>
        <v>-29607</v>
      </c>
      <c r="E117" s="7">
        <f>'Balance sheet'!D57</f>
        <v>-29398</v>
      </c>
      <c r="F117" s="7">
        <f>'Balance sheet'!E57</f>
        <v>-26592</v>
      </c>
      <c r="G117" s="7">
        <f>'Balance sheet'!F57</f>
        <v>-29490</v>
      </c>
      <c r="H117" s="7">
        <f>'Balance sheet'!G57</f>
        <v>-28597</v>
      </c>
      <c r="I117" s="7">
        <f>'Balance sheet'!H57</f>
        <v>-29337</v>
      </c>
      <c r="J117" s="7">
        <f>'Balance sheet'!I57</f>
        <v>-23234</v>
      </c>
      <c r="K117" s="7">
        <f>'Balance sheet'!J57</f>
        <v>-16740</v>
      </c>
      <c r="L117" s="7">
        <f>'Balance sheet'!K57</f>
        <v>-18761</v>
      </c>
    </row>
    <row r="118" spans="1:13" x14ac:dyDescent="0.2">
      <c r="B118" s="17" t="s">
        <v>217</v>
      </c>
      <c r="C118" s="7">
        <f>'Balance sheet'!B58</f>
        <v>11869</v>
      </c>
      <c r="D118" s="7">
        <f>'Balance sheet'!C58</f>
        <v>14261</v>
      </c>
      <c r="E118" s="7">
        <f>'Balance sheet'!D58</f>
        <v>18246</v>
      </c>
      <c r="F118" s="7">
        <f>'Balance sheet'!E58</f>
        <v>17593</v>
      </c>
      <c r="G118" s="7">
        <f>'Balance sheet'!F58</f>
        <v>16795</v>
      </c>
      <c r="H118" s="7">
        <f>'Balance sheet'!G58</f>
        <v>20841</v>
      </c>
      <c r="I118" s="7">
        <f>'Balance sheet'!H58</f>
        <v>20597</v>
      </c>
      <c r="J118" s="7">
        <f>'Balance sheet'!I58</f>
        <v>18901</v>
      </c>
      <c r="K118" s="7">
        <f>'Balance sheet'!J58</f>
        <v>21944</v>
      </c>
      <c r="L118" s="7">
        <f>'Balance sheet'!K58</f>
        <v>22534</v>
      </c>
    </row>
    <row r="119" spans="1:13" x14ac:dyDescent="0.2">
      <c r="B119" s="17" t="s">
        <v>218</v>
      </c>
      <c r="C119" s="7">
        <f>'Balance sheet'!B59</f>
        <v>146</v>
      </c>
      <c r="D119" s="7">
        <f>'Balance sheet'!C59</f>
        <v>162</v>
      </c>
      <c r="E119" s="7">
        <f>'Balance sheet'!D59</f>
        <v>146</v>
      </c>
      <c r="F119" s="7">
        <f>'Balance sheet'!E59</f>
        <v>131</v>
      </c>
      <c r="G119" s="7">
        <f>'Balance sheet'!F59</f>
        <v>134</v>
      </c>
      <c r="H119" s="7">
        <f>'Balance sheet'!G59</f>
        <v>144</v>
      </c>
      <c r="I119" s="7">
        <f>'Balance sheet'!H59</f>
        <v>129</v>
      </c>
      <c r="J119" s="7">
        <f>'Balance sheet'!I59</f>
        <v>95</v>
      </c>
      <c r="K119" s="7">
        <f>'Balance sheet'!J59</f>
        <v>77</v>
      </c>
      <c r="L119" s="7">
        <f>'Balance sheet'!K59</f>
        <v>80</v>
      </c>
    </row>
    <row r="120" spans="1:13" x14ac:dyDescent="0.2">
      <c r="B120" s="26" t="s">
        <v>219</v>
      </c>
      <c r="C120" s="27">
        <f>'Balance sheet'!B60</f>
        <v>12015</v>
      </c>
      <c r="D120" s="27">
        <f>'Balance sheet'!C60</f>
        <v>14423</v>
      </c>
      <c r="E120" s="27">
        <f>'Balance sheet'!D60</f>
        <v>18392</v>
      </c>
      <c r="F120" s="27">
        <f>'Balance sheet'!E60</f>
        <v>17724</v>
      </c>
      <c r="G120" s="27">
        <f>'Balance sheet'!F60</f>
        <v>16929</v>
      </c>
      <c r="H120" s="27">
        <f>'Balance sheet'!G60</f>
        <v>20985</v>
      </c>
      <c r="I120" s="27">
        <f>'Balance sheet'!H60</f>
        <v>20726</v>
      </c>
      <c r="J120" s="27">
        <f>'Balance sheet'!I60</f>
        <v>18996</v>
      </c>
      <c r="K120" s="27">
        <f>'Balance sheet'!J60</f>
        <v>22021</v>
      </c>
      <c r="L120" s="27">
        <f>'Balance sheet'!K60</f>
        <v>22614</v>
      </c>
    </row>
    <row r="121" spans="1:13" x14ac:dyDescent="0.2">
      <c r="B121" s="15"/>
      <c r="C121" s="16"/>
      <c r="D121" s="16"/>
      <c r="E121" s="16"/>
      <c r="F121" s="16"/>
      <c r="G121" s="16"/>
      <c r="H121" s="16"/>
      <c r="I121" s="16"/>
      <c r="J121" s="16"/>
      <c r="K121" s="16"/>
      <c r="L121" s="16"/>
    </row>
    <row r="122" spans="1:13" x14ac:dyDescent="0.2">
      <c r="B122" s="26" t="s">
        <v>220</v>
      </c>
      <c r="C122" s="27">
        <f>'Balance sheet'!B61</f>
        <v>117272</v>
      </c>
      <c r="D122" s="27">
        <f>'Balance sheet'!C61</f>
        <v>110495</v>
      </c>
      <c r="E122" s="27">
        <f>'Balance sheet'!D61</f>
        <v>117470</v>
      </c>
      <c r="F122" s="27">
        <f>'Balance sheet'!E61</f>
        <v>125355</v>
      </c>
      <c r="G122" s="27">
        <f>'Balance sheet'!F61</f>
        <v>123381</v>
      </c>
      <c r="H122" s="27">
        <f>'Balance sheet'!G61</f>
        <v>152187</v>
      </c>
      <c r="I122" s="27">
        <f>'Balance sheet'!H61</f>
        <v>155971</v>
      </c>
      <c r="J122" s="27">
        <f>'Balance sheet'!I61</f>
        <v>132001</v>
      </c>
      <c r="K122" s="27">
        <f>'Balance sheet'!J61</f>
        <v>127243</v>
      </c>
      <c r="L122" s="27">
        <f>'Balance sheet'!K61</f>
        <v>135240</v>
      </c>
    </row>
    <row r="124" spans="1:13" x14ac:dyDescent="0.2">
      <c r="B124" s="24" t="s">
        <v>183</v>
      </c>
      <c r="C124" s="20" t="b">
        <f>C122=C87</f>
        <v>1</v>
      </c>
      <c r="D124" s="20" t="b">
        <f t="shared" ref="D124:L124" si="23">D122=D87</f>
        <v>1</v>
      </c>
      <c r="E124" s="20" t="b">
        <f t="shared" si="23"/>
        <v>1</v>
      </c>
      <c r="F124" s="20" t="b">
        <f t="shared" si="23"/>
        <v>1</v>
      </c>
      <c r="G124" s="20" t="b">
        <f t="shared" si="23"/>
        <v>1</v>
      </c>
      <c r="H124" s="20" t="b">
        <f t="shared" si="23"/>
        <v>1</v>
      </c>
      <c r="I124" s="20" t="b">
        <f t="shared" si="23"/>
        <v>1</v>
      </c>
      <c r="J124" s="20" t="b">
        <f t="shared" si="23"/>
        <v>1</v>
      </c>
      <c r="K124" s="20" t="b">
        <f t="shared" si="23"/>
        <v>1</v>
      </c>
      <c r="L124" s="20" t="b">
        <f t="shared" si="23"/>
        <v>1</v>
      </c>
      <c r="M124" s="10"/>
    </row>
    <row r="127" spans="1:13" ht="15.75" x14ac:dyDescent="0.25">
      <c r="A127" s="5" t="s">
        <v>182</v>
      </c>
      <c r="B127" s="25" t="s">
        <v>151</v>
      </c>
      <c r="C127" s="12"/>
      <c r="D127" s="12"/>
      <c r="E127" s="12"/>
      <c r="F127" s="12"/>
      <c r="G127" s="12"/>
      <c r="H127" s="12"/>
      <c r="I127" s="12"/>
      <c r="J127" s="12"/>
      <c r="K127" s="12"/>
      <c r="L127" s="12"/>
    </row>
    <row r="128" spans="1:13" x14ac:dyDescent="0.2">
      <c r="B128" s="21" t="s">
        <v>33</v>
      </c>
    </row>
    <row r="129" spans="2:12" x14ac:dyDescent="0.2">
      <c r="B129" s="14" t="s">
        <v>1</v>
      </c>
      <c r="C129" s="7">
        <f>'Cash flow statement'!B4</f>
        <v>12023</v>
      </c>
      <c r="D129" s="7">
        <f>'Cash flow statement'!C4</f>
        <v>13191</v>
      </c>
      <c r="E129" s="7">
        <f>'Cash flow statement'!D4</f>
        <v>11873</v>
      </c>
      <c r="F129" s="7">
        <f>'Cash flow statement'!E4</f>
        <v>5752</v>
      </c>
      <c r="G129" s="7">
        <f>'Cash flow statement'!F4</f>
        <v>8729</v>
      </c>
      <c r="H129" s="7">
        <f>'Cash flow statement'!G4</f>
        <v>9432</v>
      </c>
      <c r="I129" s="7">
        <f>'Cash flow statement'!H4</f>
        <v>5590</v>
      </c>
      <c r="J129" s="7">
        <f>'Cash flow statement'!I4</f>
        <v>5743</v>
      </c>
      <c r="K129" s="7">
        <f>'Cash flow statement'!J4</f>
        <v>1639</v>
      </c>
      <c r="L129" s="7">
        <f>'Cash flow statement'!K4</f>
        <v>7501</v>
      </c>
    </row>
    <row r="130" spans="2:12" ht="30" x14ac:dyDescent="0.2">
      <c r="B130" s="14" t="s">
        <v>48</v>
      </c>
      <c r="C130" s="7"/>
      <c r="D130" s="7"/>
      <c r="E130" s="7"/>
      <c r="F130" s="7"/>
      <c r="G130" s="7"/>
      <c r="H130" s="7"/>
      <c r="I130" s="7"/>
      <c r="J130" s="7"/>
      <c r="K130" s="7"/>
      <c r="L130" s="7"/>
    </row>
    <row r="131" spans="2:12" x14ac:dyDescent="0.2">
      <c r="B131" s="14" t="s">
        <v>221</v>
      </c>
      <c r="C131" s="7" t="str">
        <f>'Cash flow statement'!B6</f>
        <v>—</v>
      </c>
      <c r="D131" s="7" t="str">
        <f>'Cash flow statement'!C6</f>
        <v>—</v>
      </c>
      <c r="E131" s="7" t="str">
        <f>'Cash flow statement'!D6</f>
        <v>—</v>
      </c>
      <c r="F131" s="7" t="str">
        <f>'Cash flow statement'!E6</f>
        <v>—</v>
      </c>
      <c r="G131" s="7" t="str">
        <f>'Cash flow statement'!F6</f>
        <v>—</v>
      </c>
      <c r="H131" s="7" t="str">
        <f>'Cash flow statement'!G6</f>
        <v>—</v>
      </c>
      <c r="I131" s="7" t="str">
        <f>'Cash flow statement'!H6</f>
        <v>—</v>
      </c>
      <c r="J131" s="7" t="str">
        <f>'Cash flow statement'!I6</f>
        <v>—</v>
      </c>
      <c r="K131" s="7">
        <f>'Cash flow statement'!J6</f>
        <v>5894</v>
      </c>
      <c r="L131" s="7" t="str">
        <f>'Cash flow statement'!K6</f>
        <v>—</v>
      </c>
    </row>
    <row r="132" spans="2:12" x14ac:dyDescent="0.2">
      <c r="B132" s="14" t="s">
        <v>2</v>
      </c>
      <c r="C132" s="7">
        <f>'Cash flow statement'!B7</f>
        <v>3145</v>
      </c>
      <c r="D132" s="7">
        <f>'Cash flow statement'!C7</f>
        <v>2662</v>
      </c>
      <c r="E132" s="7">
        <f>'Cash flow statement'!D7</f>
        <v>2837</v>
      </c>
      <c r="F132" s="7">
        <f>'Cash flow statement'!E7</f>
        <v>3021</v>
      </c>
      <c r="G132" s="7">
        <f>'Cash flow statement'!F7</f>
        <v>3127</v>
      </c>
      <c r="H132" s="7">
        <f>'Cash flow statement'!G7</f>
        <v>4209</v>
      </c>
      <c r="I132" s="7">
        <f>'Cash flow statement'!H7</f>
        <v>4227</v>
      </c>
      <c r="J132" s="7">
        <f>'Cash flow statement'!I7</f>
        <v>3888</v>
      </c>
      <c r="K132" s="7">
        <f>'Cash flow statement'!J7</f>
        <v>2407</v>
      </c>
      <c r="L132" s="7">
        <f>'Cash flow statement'!K7</f>
        <v>2109</v>
      </c>
    </row>
    <row r="133" spans="2:12" x14ac:dyDescent="0.2">
      <c r="B133" s="14" t="s">
        <v>3</v>
      </c>
      <c r="C133" s="7">
        <f>'Cash flow statement'!B8</f>
        <v>1347</v>
      </c>
      <c r="D133" s="7">
        <f>'Cash flow statement'!C8</f>
        <v>1193</v>
      </c>
      <c r="E133" s="7">
        <f>'Cash flow statement'!D8</f>
        <v>1544</v>
      </c>
      <c r="F133" s="7">
        <f>'Cash flow statement'!E8</f>
        <v>1520</v>
      </c>
      <c r="G133" s="7">
        <f>'Cash flow statement'!F8</f>
        <v>1353</v>
      </c>
      <c r="H133" s="7">
        <f>'Cash flow statement'!G8</f>
        <v>1850</v>
      </c>
      <c r="I133" s="7">
        <f>'Cash flow statement'!H8</f>
        <v>2468</v>
      </c>
      <c r="J133" s="7">
        <f>'Cash flow statement'!I8</f>
        <v>2529</v>
      </c>
      <c r="K133" s="7">
        <f>'Cash flow statement'!J8</f>
        <v>2395</v>
      </c>
      <c r="L133" s="7">
        <f>'Cash flow statement'!K8</f>
        <v>2287</v>
      </c>
    </row>
    <row r="134" spans="2:12" x14ac:dyDescent="0.2">
      <c r="B134" s="14" t="s">
        <v>4</v>
      </c>
      <c r="C134" s="7">
        <f>'Cash flow statement'!B9</f>
        <v>512</v>
      </c>
      <c r="D134" s="7">
        <f>'Cash flow statement'!C9</f>
        <v>468</v>
      </c>
      <c r="E134" s="7">
        <f>'Cash flow statement'!D9</f>
        <v>544</v>
      </c>
      <c r="F134" s="7">
        <f>'Cash flow statement'!E9</f>
        <v>534</v>
      </c>
      <c r="G134" s="7">
        <f>'Cash flow statement'!F9</f>
        <v>510</v>
      </c>
      <c r="H134" s="7">
        <f>'Cash flow statement'!G9</f>
        <v>679</v>
      </c>
      <c r="I134" s="7">
        <f>'Cash flow statement'!H9</f>
        <v>937</v>
      </c>
      <c r="J134" s="7">
        <f>'Cash flow statement'!I9</f>
        <v>982</v>
      </c>
      <c r="K134" s="7">
        <f>'Cash flow statement'!J9</f>
        <v>987</v>
      </c>
      <c r="L134" s="7">
        <f>'Cash flow statement'!K9</f>
        <v>1133</v>
      </c>
    </row>
    <row r="135" spans="2:12" x14ac:dyDescent="0.2">
      <c r="B135" s="14" t="s">
        <v>5</v>
      </c>
      <c r="C135" s="7">
        <f>'Cash flow statement'!B10</f>
        <v>-237</v>
      </c>
      <c r="D135" s="7">
        <f>'Cash flow statement'!C10</f>
        <v>1387</v>
      </c>
      <c r="E135" s="7">
        <f>'Cash flow statement'!D10</f>
        <v>-1132</v>
      </c>
      <c r="F135" s="7">
        <f>'Cash flow statement'!E10</f>
        <v>-931</v>
      </c>
      <c r="G135" s="7">
        <f>'Cash flow statement'!F10</f>
        <v>853</v>
      </c>
      <c r="H135" s="7">
        <f>'Cash flow statement'!G10</f>
        <v>-1527</v>
      </c>
      <c r="I135" s="7">
        <f>'Cash flow statement'!H10</f>
        <v>-3203</v>
      </c>
      <c r="J135" s="7">
        <f>'Cash flow statement'!I10</f>
        <v>-2001</v>
      </c>
      <c r="K135" s="7">
        <f>'Cash flow statement'!J10</f>
        <v>-2726</v>
      </c>
      <c r="L135" s="7">
        <f>'Cash flow statement'!K10</f>
        <v>-1114</v>
      </c>
    </row>
    <row r="136" spans="2:12" x14ac:dyDescent="0.2">
      <c r="B136" s="14" t="s">
        <v>14</v>
      </c>
      <c r="C136" s="7">
        <f>'Cash flow statement'!B11</f>
        <v>-1535</v>
      </c>
      <c r="D136" s="7">
        <f>'Cash flow statement'!C11</f>
        <v>481</v>
      </c>
      <c r="E136" s="7">
        <f>'Cash flow statement'!D11</f>
        <v>62</v>
      </c>
      <c r="F136" s="7">
        <f>'Cash flow statement'!E11</f>
        <v>14</v>
      </c>
      <c r="G136" s="7">
        <f>'Cash flow statement'!F11</f>
        <v>123</v>
      </c>
      <c r="H136" s="7">
        <f>'Cash flow statement'!G11</f>
        <v>-1096</v>
      </c>
      <c r="I136" s="7">
        <f>'Cash flow statement'!H11</f>
        <v>-70</v>
      </c>
      <c r="J136" s="7">
        <f>'Cash flow statement'!I11</f>
        <v>-307</v>
      </c>
      <c r="K136" s="7">
        <f>'Cash flow statement'!J11</f>
        <v>-122</v>
      </c>
      <c r="L136" s="7">
        <f>'Cash flow statement'!K11</f>
        <v>-170</v>
      </c>
    </row>
    <row r="137" spans="2:12" x14ac:dyDescent="0.2">
      <c r="B137" s="14" t="s">
        <v>222</v>
      </c>
      <c r="C137" s="7">
        <f>'Cash flow statement'!B12</f>
        <v>3381</v>
      </c>
      <c r="D137" s="7">
        <f>'Cash flow statement'!C12</f>
        <v>71</v>
      </c>
      <c r="E137" s="7" t="str">
        <f>'Cash flow statement'!D12</f>
        <v>—</v>
      </c>
      <c r="F137" s="7" t="str">
        <f>'Cash flow statement'!E12</f>
        <v>—</v>
      </c>
      <c r="G137" s="7" t="str">
        <f>'Cash flow statement'!F12</f>
        <v>—</v>
      </c>
      <c r="H137" s="7" t="str">
        <f>'Cash flow statement'!G12</f>
        <v>—</v>
      </c>
      <c r="I137" s="7" t="str">
        <f>'Cash flow statement'!H12</f>
        <v>—</v>
      </c>
      <c r="J137" s="7" t="str">
        <f>'Cash flow statement'!I12</f>
        <v>—</v>
      </c>
      <c r="K137" s="7" t="str">
        <f>'Cash flow statement'!J12</f>
        <v>—</v>
      </c>
      <c r="L137" s="7" t="str">
        <f>'Cash flow statement'!K12</f>
        <v>—</v>
      </c>
    </row>
    <row r="138" spans="2:12" ht="30" x14ac:dyDescent="0.2">
      <c r="B138" s="14" t="s">
        <v>6</v>
      </c>
      <c r="C138" s="7"/>
      <c r="D138" s="7"/>
      <c r="E138" s="7"/>
      <c r="F138" s="7"/>
      <c r="G138" s="7"/>
      <c r="H138" s="7"/>
      <c r="I138" s="7"/>
      <c r="J138" s="7"/>
      <c r="K138" s="7"/>
      <c r="L138" s="7"/>
    </row>
    <row r="139" spans="2:12" x14ac:dyDescent="0.2">
      <c r="B139" s="14" t="s">
        <v>34</v>
      </c>
      <c r="C139" s="7">
        <f>'Cash flow statement'!B14</f>
        <v>1270</v>
      </c>
      <c r="D139" s="7">
        <f>'Cash flow statement'!C14</f>
        <v>812</v>
      </c>
      <c r="E139" s="7">
        <f>'Cash flow statement'!D14</f>
        <v>712</v>
      </c>
      <c r="F139" s="7">
        <f>'Cash flow statement'!E14</f>
        <v>1297</v>
      </c>
      <c r="G139" s="7">
        <f>'Cash flow statement'!F14</f>
        <v>1006</v>
      </c>
      <c r="H139" s="7">
        <f>'Cash flow statement'!G14</f>
        <v>502</v>
      </c>
      <c r="I139" s="7">
        <f>'Cash flow statement'!H14</f>
        <v>5297</v>
      </c>
      <c r="J139" s="7">
        <f>'Cash flow statement'!I14</f>
        <v>1372</v>
      </c>
      <c r="K139" s="7">
        <f>'Cash flow statement'!J14</f>
        <v>-539</v>
      </c>
      <c r="L139" s="7">
        <f>'Cash flow statement'!K14</f>
        <v>725</v>
      </c>
    </row>
    <row r="140" spans="2:12" x14ac:dyDescent="0.2">
      <c r="B140" s="14" t="s">
        <v>7</v>
      </c>
      <c r="C140" s="7">
        <f>'Cash flow statement'!B15</f>
        <v>-655</v>
      </c>
      <c r="D140" s="7">
        <f>'Cash flow statement'!C15</f>
        <v>-22</v>
      </c>
      <c r="E140" s="7">
        <f>'Cash flow statement'!D15</f>
        <v>54</v>
      </c>
      <c r="F140" s="7">
        <f>'Cash flow statement'!E15</f>
        <v>1014</v>
      </c>
      <c r="G140" s="7">
        <f>'Cash flow statement'!F15</f>
        <v>1368</v>
      </c>
      <c r="H140" s="7">
        <f>'Cash flow statement'!G15</f>
        <v>301</v>
      </c>
      <c r="I140" s="7">
        <f>'Cash flow statement'!H15</f>
        <v>936</v>
      </c>
      <c r="J140" s="7">
        <f>'Cash flow statement'!I15</f>
        <v>1038</v>
      </c>
      <c r="K140" s="7">
        <f>'Cash flow statement'!J15</f>
        <v>331</v>
      </c>
      <c r="L140" s="7">
        <f>'Cash flow statement'!K15</f>
        <v>-462</v>
      </c>
    </row>
    <row r="141" spans="2:12" x14ac:dyDescent="0.2">
      <c r="B141" s="14" t="s">
        <v>8</v>
      </c>
      <c r="C141" s="7">
        <f>'Cash flow statement'!B16</f>
        <v>-39</v>
      </c>
      <c r="D141" s="7">
        <f>'Cash flow statement'!C16</f>
        <v>133</v>
      </c>
      <c r="E141" s="7">
        <f>'Cash flow statement'!D16</f>
        <v>-14</v>
      </c>
      <c r="F141" s="7">
        <f>'Cash flow statement'!E16</f>
        <v>18</v>
      </c>
      <c r="G141" s="7">
        <f>'Cash flow statement'!F16</f>
        <v>-127</v>
      </c>
      <c r="H141" s="7">
        <f>'Cash flow statement'!G16</f>
        <v>67</v>
      </c>
      <c r="I141" s="7">
        <f>'Cash flow statement'!H16</f>
        <v>-209</v>
      </c>
      <c r="J141" s="7">
        <f>'Cash flow statement'!I16</f>
        <v>138</v>
      </c>
      <c r="K141" s="7">
        <f>'Cash flow statement'!J16</f>
        <v>71</v>
      </c>
      <c r="L141" s="7">
        <f>'Cash flow statement'!K16</f>
        <v>390</v>
      </c>
    </row>
    <row r="142" spans="2:12" x14ac:dyDescent="0.2">
      <c r="B142" s="14" t="s">
        <v>9</v>
      </c>
      <c r="C142" s="7">
        <f>'Cash flow statement'!B17</f>
        <v>-1886</v>
      </c>
      <c r="D142" s="7">
        <f>'Cash flow statement'!C17</f>
        <v>-3200</v>
      </c>
      <c r="E142" s="7">
        <f>'Cash flow statement'!D17</f>
        <v>408</v>
      </c>
      <c r="F142" s="7">
        <f>'Cash flow statement'!E17</f>
        <v>4437</v>
      </c>
      <c r="G142" s="7">
        <f>'Cash flow statement'!F17</f>
        <v>-1819</v>
      </c>
      <c r="H142" s="7">
        <f>'Cash flow statement'!G17</f>
        <v>858</v>
      </c>
      <c r="I142" s="7">
        <f>'Cash flow statement'!H17</f>
        <v>2087</v>
      </c>
      <c r="J142" s="7">
        <f>'Cash flow statement'!I17</f>
        <v>-671</v>
      </c>
      <c r="K142" s="7">
        <f>'Cash flow statement'!J17</f>
        <v>-115</v>
      </c>
      <c r="L142" s="7">
        <f>'Cash flow statement'!K17</f>
        <v>1466</v>
      </c>
    </row>
    <row r="143" spans="2:12" x14ac:dyDescent="0.2">
      <c r="B143" s="14" t="s">
        <v>10</v>
      </c>
      <c r="C143" s="7">
        <f>'Cash flow statement'!B18</f>
        <v>-456</v>
      </c>
      <c r="D143" s="7">
        <f>'Cash flow statement'!C18</f>
        <v>81</v>
      </c>
      <c r="E143" s="7">
        <f>'Cash flow statement'!D18</f>
        <v>197</v>
      </c>
      <c r="F143" s="7">
        <f>'Cash flow statement'!E18</f>
        <v>47</v>
      </c>
      <c r="G143" s="7">
        <f>'Cash flow statement'!F18</f>
        <v>126</v>
      </c>
      <c r="H143" s="7">
        <f>'Cash flow statement'!G18</f>
        <v>-503</v>
      </c>
      <c r="I143" s="7">
        <f>'Cash flow statement'!H18</f>
        <v>138</v>
      </c>
      <c r="J143" s="7">
        <f>'Cash flow statement'!I18</f>
        <v>85</v>
      </c>
      <c r="K143" s="7">
        <f>'Cash flow statement'!J18</f>
        <v>213</v>
      </c>
      <c r="L143" s="7">
        <f>'Cash flow statement'!K18</f>
        <v>65</v>
      </c>
    </row>
    <row r="144" spans="2:12" x14ac:dyDescent="0.2">
      <c r="B144" s="28" t="s">
        <v>11</v>
      </c>
      <c r="C144" s="27">
        <f>'Cash flow statement'!B19</f>
        <v>16870</v>
      </c>
      <c r="D144" s="27">
        <f>'Cash flow statement'!C19</f>
        <v>17257</v>
      </c>
      <c r="E144" s="27">
        <f>'Cash flow statement'!D19</f>
        <v>17085</v>
      </c>
      <c r="F144" s="27">
        <f>'Cash flow statement'!E19</f>
        <v>16723</v>
      </c>
      <c r="G144" s="27">
        <f>'Cash flow statement'!F19</f>
        <v>15249</v>
      </c>
      <c r="H144" s="27">
        <f>'Cash flow statement'!G19</f>
        <v>14772</v>
      </c>
      <c r="I144" s="27">
        <f>'Cash flow statement'!H19</f>
        <v>18198</v>
      </c>
      <c r="J144" s="27">
        <f>'Cash flow statement'!I19</f>
        <v>12796</v>
      </c>
      <c r="K144" s="27">
        <f>'Cash flow statement'!J19</f>
        <v>10435</v>
      </c>
      <c r="L144" s="27">
        <f>'Cash flow statement'!K19</f>
        <v>13930</v>
      </c>
    </row>
    <row r="145" spans="2:12" x14ac:dyDescent="0.2">
      <c r="B145" s="21"/>
      <c r="C145" s="7"/>
      <c r="D145" s="7"/>
      <c r="E145" s="7"/>
      <c r="F145" s="7"/>
      <c r="G145" s="7"/>
      <c r="H145" s="7"/>
      <c r="I145" s="7"/>
      <c r="J145" s="7"/>
      <c r="K145" s="7"/>
      <c r="L145" s="7"/>
    </row>
    <row r="146" spans="2:12" x14ac:dyDescent="0.2">
      <c r="B146" s="21" t="s">
        <v>35</v>
      </c>
      <c r="C146" s="7"/>
      <c r="D146" s="7"/>
      <c r="E146" s="7"/>
      <c r="F146" s="7"/>
      <c r="G146" s="7"/>
      <c r="H146" s="7"/>
      <c r="I146" s="7"/>
      <c r="J146" s="7"/>
      <c r="K146" s="7"/>
      <c r="L146" s="7"/>
    </row>
    <row r="147" spans="2:12" x14ac:dyDescent="0.2">
      <c r="B147" s="14" t="s">
        <v>12</v>
      </c>
      <c r="C147" s="7">
        <f>'Cash flow statement'!B21</f>
        <v>-3740</v>
      </c>
      <c r="D147" s="7">
        <f>'Cash flow statement'!C21</f>
        <v>-3579</v>
      </c>
      <c r="E147" s="7">
        <f>'Cash flow statement'!D21</f>
        <v>-3567</v>
      </c>
      <c r="F147" s="7">
        <f>'Cash flow statement'!E21</f>
        <v>-3229</v>
      </c>
      <c r="G147" s="7">
        <f>'Cash flow statement'!F21</f>
        <v>-3395</v>
      </c>
      <c r="H147" s="7">
        <f>'Cash flow statement'!G21</f>
        <v>-2286</v>
      </c>
      <c r="I147" s="7">
        <f>'Cash flow statement'!H21</f>
        <v>-2618</v>
      </c>
      <c r="J147" s="7">
        <f>'Cash flow statement'!I21</f>
        <v>-2062</v>
      </c>
      <c r="K147" s="7">
        <f>'Cash flow statement'!J21</f>
        <v>-1346</v>
      </c>
      <c r="L147" s="7">
        <f>'Cash flow statement'!K21</f>
        <v>-1245</v>
      </c>
    </row>
    <row r="148" spans="2:12" x14ac:dyDescent="0.2">
      <c r="B148" s="21" t="s">
        <v>97</v>
      </c>
      <c r="C148" s="16">
        <v>13130</v>
      </c>
      <c r="D148" s="16">
        <v>13678</v>
      </c>
      <c r="E148" s="16">
        <v>13518</v>
      </c>
      <c r="F148" s="16">
        <v>13494</v>
      </c>
      <c r="G148" s="16">
        <v>11854</v>
      </c>
      <c r="H148" s="16">
        <v>12486</v>
      </c>
      <c r="I148" s="16">
        <v>15580</v>
      </c>
      <c r="J148" s="16">
        <v>10734</v>
      </c>
      <c r="K148" s="16">
        <v>9089</v>
      </c>
      <c r="L148" s="16">
        <v>12685</v>
      </c>
    </row>
    <row r="149" spans="2:12" ht="30" x14ac:dyDescent="0.2">
      <c r="B149" s="14" t="s">
        <v>13</v>
      </c>
      <c r="C149" s="7">
        <f>'Cash flow statement'!B22</f>
        <v>404</v>
      </c>
      <c r="D149" s="7">
        <f>'Cash flow statement'!C22</f>
        <v>370</v>
      </c>
      <c r="E149" s="7">
        <f>'Cash flow statement'!D22</f>
        <v>424</v>
      </c>
      <c r="F149" s="7">
        <f>'Cash flow statement'!E22</f>
        <v>460</v>
      </c>
      <c r="G149" s="7">
        <f>'Cash flow statement'!F22</f>
        <v>248</v>
      </c>
      <c r="H149" s="7">
        <f>'Cash flow statement'!G22</f>
        <v>537</v>
      </c>
      <c r="I149" s="7">
        <f>'Cash flow statement'!H22</f>
        <v>188</v>
      </c>
      <c r="J149" s="7">
        <f>'Cash flow statement'!I22</f>
        <v>387</v>
      </c>
      <c r="K149" s="7">
        <f>'Cash flow statement'!J22</f>
        <v>111</v>
      </c>
      <c r="L149" s="7">
        <f>'Cash flow statement'!K22</f>
        <v>321</v>
      </c>
    </row>
    <row r="150" spans="2:12" x14ac:dyDescent="0.2">
      <c r="B150" s="14" t="s">
        <v>15</v>
      </c>
      <c r="C150" s="7">
        <f>'Cash flow statement'!B23</f>
        <v>-443</v>
      </c>
      <c r="D150" s="7">
        <f>'Cash flow statement'!C23</f>
        <v>-572</v>
      </c>
      <c r="E150" s="7">
        <f>'Cash flow statement'!D23</f>
        <v>-583</v>
      </c>
      <c r="F150" s="7">
        <f>'Cash flow statement'!E23</f>
        <v>-544</v>
      </c>
      <c r="G150" s="7">
        <f>'Cash flow statement'!F23</f>
        <v>-569</v>
      </c>
      <c r="H150" s="7">
        <f>'Cash flow statement'!G23</f>
        <v>-621</v>
      </c>
      <c r="I150" s="7">
        <f>'Cash flow statement'!H23</f>
        <v>-612</v>
      </c>
      <c r="J150" s="7">
        <f>'Cash flow statement'!I23</f>
        <v>-706</v>
      </c>
      <c r="K150" s="7">
        <f>'Cash flow statement'!J23</f>
        <v>-626</v>
      </c>
      <c r="L150" s="7">
        <f>'Cash flow statement'!K23</f>
        <v>-565</v>
      </c>
    </row>
    <row r="151" spans="2:12" ht="30" x14ac:dyDescent="0.2">
      <c r="B151" s="14" t="s">
        <v>16</v>
      </c>
      <c r="C151" s="7">
        <f>'Cash flow statement'!B24</f>
        <v>-2338</v>
      </c>
      <c r="D151" s="7">
        <f>'Cash flow statement'!C24</f>
        <v>-3073</v>
      </c>
      <c r="E151" s="7">
        <f>'Cash flow statement'!D24</f>
        <v>-5853</v>
      </c>
      <c r="F151" s="7">
        <f>'Cash flow statement'!E24</f>
        <v>-4949</v>
      </c>
      <c r="G151" s="7">
        <f>'Cash flow statement'!F24</f>
        <v>-7041</v>
      </c>
      <c r="H151" s="7">
        <f>'Cash flow statement'!G24</f>
        <v>-3693</v>
      </c>
      <c r="I151" s="7">
        <f>'Cash flow statement'!H24</f>
        <v>-6246</v>
      </c>
      <c r="J151" s="7">
        <f>'Cash flow statement'!I24</f>
        <v>-3561</v>
      </c>
      <c r="K151" s="7">
        <f>'Cash flow statement'!J24</f>
        <v>-5930</v>
      </c>
      <c r="L151" s="7">
        <f>'Cash flow statement'!K24</f>
        <v>-11143</v>
      </c>
    </row>
    <row r="152" spans="2:12" ht="30" x14ac:dyDescent="0.2">
      <c r="B152" s="14" t="s">
        <v>17</v>
      </c>
      <c r="C152" s="7">
        <f>'Cash flow statement'!B25</f>
        <v>2493</v>
      </c>
      <c r="D152" s="7">
        <f>'Cash flow statement'!C25</f>
        <v>2842</v>
      </c>
      <c r="E152" s="7">
        <f>'Cash flow statement'!D25</f>
        <v>5692</v>
      </c>
      <c r="F152" s="7">
        <f>'Cash flow statement'!E25</f>
        <v>3910</v>
      </c>
      <c r="G152" s="7">
        <f>'Cash flow statement'!F25</f>
        <v>6487</v>
      </c>
      <c r="H152" s="7">
        <f>'Cash flow statement'!G25</f>
        <v>3961</v>
      </c>
      <c r="I152" s="7">
        <f>'Cash flow statement'!H25</f>
        <v>5618</v>
      </c>
      <c r="J152" s="7">
        <f>'Cash flow statement'!I25</f>
        <v>3147</v>
      </c>
      <c r="K152" s="7">
        <f>'Cash flow statement'!J25</f>
        <v>4665</v>
      </c>
      <c r="L152" s="7">
        <f>'Cash flow statement'!K25</f>
        <v>10647</v>
      </c>
    </row>
    <row r="153" spans="2:12" x14ac:dyDescent="0.2">
      <c r="B153" s="14" t="s">
        <v>36</v>
      </c>
      <c r="C153" s="7">
        <f>'Cash flow statement'!B26</f>
        <v>-1078</v>
      </c>
      <c r="D153" s="7">
        <f>'Cash flow statement'!C26</f>
        <v>-398</v>
      </c>
      <c r="E153" s="7">
        <f>'Cash flow statement'!D26</f>
        <v>-891</v>
      </c>
      <c r="F153" s="7">
        <f>'Cash flow statement'!E26</f>
        <v>-2028</v>
      </c>
      <c r="G153" s="7">
        <f>'Cash flow statement'!F26</f>
        <v>-503</v>
      </c>
      <c r="H153" s="7">
        <f>'Cash flow statement'!G26</f>
        <v>6720</v>
      </c>
      <c r="I153" s="7">
        <f>'Cash flow statement'!H26</f>
        <v>475</v>
      </c>
      <c r="J153" s="7">
        <f>'Cash flow statement'!I26</f>
        <v>0</v>
      </c>
      <c r="K153" s="7">
        <f>'Cash flow statement'!J26</f>
        <v>0</v>
      </c>
      <c r="L153" s="7" t="str">
        <f>'Cash flow statement'!K26</f>
        <v>—</v>
      </c>
    </row>
    <row r="154" spans="2:12" x14ac:dyDescent="0.2">
      <c r="B154" s="14" t="s">
        <v>18</v>
      </c>
      <c r="C154" s="7">
        <f>'Cash flow statement'!B27</f>
        <v>-656</v>
      </c>
      <c r="D154" s="7">
        <f>'Cash flow statement'!C27</f>
        <v>-3349</v>
      </c>
      <c r="E154" s="7">
        <f>'Cash flow statement'!D27</f>
        <v>-5696</v>
      </c>
      <c r="F154" s="7">
        <f>'Cash flow statement'!E27</f>
        <v>-496</v>
      </c>
      <c r="G154" s="7">
        <f>'Cash flow statement'!F27</f>
        <v>-139</v>
      </c>
      <c r="H154" s="7">
        <f>'Cash flow statement'!G27</f>
        <v>-32630</v>
      </c>
      <c r="I154" s="7">
        <f>'Cash flow statement'!H27</f>
        <v>-336</v>
      </c>
      <c r="J154" s="7">
        <f>'Cash flow statement'!I27</f>
        <v>-3293</v>
      </c>
      <c r="K154" s="7">
        <f>'Cash flow statement'!J27</f>
        <v>-2348</v>
      </c>
      <c r="L154" s="7">
        <f>'Cash flow statement'!K27</f>
        <v>-5082</v>
      </c>
    </row>
    <row r="155" spans="2:12" x14ac:dyDescent="0.2">
      <c r="B155" s="14" t="s">
        <v>19</v>
      </c>
      <c r="C155" s="7">
        <f>'Cash flow statement'!B28</f>
        <v>2357</v>
      </c>
      <c r="D155" s="7">
        <f>'Cash flow statement'!C28</f>
        <v>-401</v>
      </c>
      <c r="E155" s="7">
        <f>'Cash flow statement'!D28</f>
        <v>-454</v>
      </c>
      <c r="F155" s="7">
        <f>'Cash flow statement'!E28</f>
        <v>-205</v>
      </c>
      <c r="G155" s="7" t="str">
        <f>'Cash flow statement'!F28</f>
        <v>—</v>
      </c>
      <c r="H155" s="7">
        <f>'Cash flow statement'!G28</f>
        <v>1076</v>
      </c>
      <c r="I155" s="7">
        <f>'Cash flow statement'!H28</f>
        <v>503</v>
      </c>
      <c r="J155" s="7">
        <f>'Cash flow statement'!I28</f>
        <v>114</v>
      </c>
      <c r="K155" s="7">
        <f>'Cash flow statement'!J28</f>
        <v>1272</v>
      </c>
      <c r="L155" s="7">
        <f>'Cash flow statement'!K28</f>
        <v>-4</v>
      </c>
    </row>
    <row r="156" spans="2:12" x14ac:dyDescent="0.2">
      <c r="B156" s="28" t="s">
        <v>20</v>
      </c>
      <c r="C156" s="27">
        <f>'Cash flow statement'!B29</f>
        <v>-3001</v>
      </c>
      <c r="D156" s="27">
        <f>'Cash flow statement'!C29</f>
        <v>-8160</v>
      </c>
      <c r="E156" s="27">
        <f>'Cash flow statement'!D29</f>
        <v>-10928</v>
      </c>
      <c r="F156" s="27">
        <f>'Cash flow statement'!E29</f>
        <v>-7081</v>
      </c>
      <c r="G156" s="27">
        <f>'Cash flow statement'!F29</f>
        <v>-4912</v>
      </c>
      <c r="H156" s="27">
        <f>'Cash flow statement'!G29</f>
        <v>-26936</v>
      </c>
      <c r="I156" s="27">
        <f>'Cash flow statement'!H29</f>
        <v>-3028</v>
      </c>
      <c r="J156" s="27">
        <f>'Cash flow statement'!I29</f>
        <v>-5974</v>
      </c>
      <c r="K156" s="27">
        <f>'Cash flow statement'!J29</f>
        <v>-4202</v>
      </c>
      <c r="L156" s="27">
        <f>'Cash flow statement'!K29</f>
        <v>-7071</v>
      </c>
    </row>
    <row r="157" spans="2:12" x14ac:dyDescent="0.2">
      <c r="B157" s="21"/>
      <c r="C157" s="7"/>
      <c r="D157" s="7"/>
      <c r="E157" s="7"/>
      <c r="F157" s="7"/>
      <c r="G157" s="7"/>
      <c r="H157" s="7"/>
      <c r="I157" s="7"/>
      <c r="J157" s="7"/>
      <c r="K157" s="7"/>
      <c r="L157" s="7"/>
    </row>
    <row r="158" spans="2:12" x14ac:dyDescent="0.2">
      <c r="B158" s="21" t="s">
        <v>37</v>
      </c>
      <c r="C158" s="7"/>
      <c r="D158" s="7"/>
      <c r="E158" s="7"/>
      <c r="F158" s="7"/>
      <c r="G158" s="7"/>
      <c r="H158" s="7"/>
      <c r="I158" s="7"/>
      <c r="J158" s="7"/>
      <c r="K158" s="7"/>
      <c r="L158" s="7"/>
    </row>
    <row r="159" spans="2:12" x14ac:dyDescent="0.2">
      <c r="B159" s="14" t="s">
        <v>21</v>
      </c>
      <c r="C159" s="7">
        <f>'Cash flow statement'!B31</f>
        <v>8180</v>
      </c>
      <c r="D159" s="7">
        <f>'Cash flow statement'!C31</f>
        <v>5540</v>
      </c>
      <c r="E159" s="7">
        <f>'Cash flow statement'!D31</f>
        <v>9132</v>
      </c>
      <c r="F159" s="7">
        <f>'Cash flow statement'!E31</f>
        <v>9643</v>
      </c>
      <c r="G159" s="7">
        <f>'Cash flow statement'!F31</f>
        <v>6891</v>
      </c>
      <c r="H159" s="7">
        <f>'Cash flow statement'!G31</f>
        <v>31825</v>
      </c>
      <c r="I159" s="7">
        <f>'Cash flow statement'!H31</f>
        <v>10504</v>
      </c>
      <c r="J159" s="7">
        <f>'Cash flow statement'!I31</f>
        <v>522</v>
      </c>
      <c r="K159" s="7">
        <f>'Cash flow statement'!J31</f>
        <v>7804</v>
      </c>
      <c r="L159" s="7">
        <f>'Cash flow statement'!K31</f>
        <v>9586</v>
      </c>
    </row>
    <row r="160" spans="2:12" x14ac:dyDescent="0.2">
      <c r="B160" s="14" t="s">
        <v>22</v>
      </c>
      <c r="C160" s="7">
        <f>'Cash flow statement'!B32</f>
        <v>-4644</v>
      </c>
      <c r="D160" s="7">
        <f>'Cash flow statement'!C32</f>
        <v>-5622</v>
      </c>
      <c r="E160" s="7">
        <f>'Cash flow statement'!D32</f>
        <v>-6395</v>
      </c>
      <c r="F160" s="7">
        <f>'Cash flow statement'!E32</f>
        <v>-6816</v>
      </c>
      <c r="G160" s="7">
        <f>'Cash flow statement'!F32</f>
        <v>-8533</v>
      </c>
      <c r="H160" s="7">
        <f>'Cash flow statement'!G32</f>
        <v>-12944</v>
      </c>
      <c r="I160" s="7">
        <f>'Cash flow statement'!H32</f>
        <v>-13365</v>
      </c>
      <c r="J160" s="7">
        <f>'Cash flow statement'!I32</f>
        <v>-8597</v>
      </c>
      <c r="K160" s="7">
        <f>'Cash flow statement'!J32</f>
        <v>-6800</v>
      </c>
      <c r="L160" s="7">
        <f>'Cash flow statement'!K32</f>
        <v>-5082</v>
      </c>
    </row>
    <row r="161" spans="2:12" ht="30" x14ac:dyDescent="0.2">
      <c r="B161" s="14" t="s">
        <v>23</v>
      </c>
      <c r="C161" s="7">
        <f>'Cash flow statement'!B33</f>
        <v>-1753</v>
      </c>
      <c r="D161" s="7">
        <f>'Cash flow statement'!C33</f>
        <v>101</v>
      </c>
      <c r="E161" s="7">
        <f>'Cash flow statement'!D33</f>
        <v>218</v>
      </c>
      <c r="F161" s="7">
        <f>'Cash flow statement'!E33</f>
        <v>620</v>
      </c>
      <c r="G161" s="7">
        <f>'Cash flow statement'!F33</f>
        <v>1341</v>
      </c>
      <c r="H161" s="7">
        <f>'Cash flow statement'!G33</f>
        <v>-2597</v>
      </c>
      <c r="I161" s="7">
        <f>'Cash flow statement'!H33</f>
        <v>-853</v>
      </c>
      <c r="J161" s="7">
        <f>'Cash flow statement'!I33</f>
        <v>-40</v>
      </c>
      <c r="K161" s="7">
        <f>'Cash flow statement'!J33</f>
        <v>217</v>
      </c>
      <c r="L161" s="7">
        <f>'Cash flow statement'!K33</f>
        <v>-7</v>
      </c>
    </row>
    <row r="162" spans="2:12" x14ac:dyDescent="0.2">
      <c r="B162" s="14" t="s">
        <v>24</v>
      </c>
      <c r="C162" s="7">
        <f>'Cash flow statement'!B34</f>
        <v>-13679</v>
      </c>
      <c r="D162" s="7">
        <f>'Cash flow statement'!C34</f>
        <v>-4609</v>
      </c>
      <c r="E162" s="7">
        <f>'Cash flow statement'!D34</f>
        <v>-3502</v>
      </c>
      <c r="F162" s="7">
        <f>'Cash flow statement'!E34</f>
        <v>-4340</v>
      </c>
      <c r="G162" s="7">
        <f>'Cash flow statement'!F34</f>
        <v>-4443</v>
      </c>
      <c r="H162" s="7">
        <f>'Cash flow statement'!G34</f>
        <v>-1361</v>
      </c>
      <c r="I162" s="7" t="str">
        <f>'Cash flow statement'!H34</f>
        <v>—</v>
      </c>
      <c r="J162" s="7" t="str">
        <f>'Cash flow statement'!I34</f>
        <v>—</v>
      </c>
      <c r="K162" s="7" t="str">
        <f>'Cash flow statement'!J34</f>
        <v>—</v>
      </c>
      <c r="L162" s="7" t="str">
        <f>'Cash flow statement'!K34</f>
        <v>—</v>
      </c>
    </row>
    <row r="163" spans="2:12" x14ac:dyDescent="0.2">
      <c r="B163" s="14" t="s">
        <v>223</v>
      </c>
      <c r="C163" s="7" t="str">
        <f>'Cash flow statement'!B35</f>
        <v>—</v>
      </c>
      <c r="D163" s="7">
        <f>'Cash flow statement'!C35</f>
        <v>-248</v>
      </c>
      <c r="E163" s="7">
        <f>'Cash flow statement'!D35</f>
        <v>-126</v>
      </c>
      <c r="F163" s="7">
        <f>'Cash flow statement'!E35</f>
        <v>-193</v>
      </c>
      <c r="G163" s="7">
        <f>'Cash flow statement'!F35</f>
        <v>-171</v>
      </c>
      <c r="H163" s="7">
        <f>'Cash flow statement'!G35</f>
        <v>-272</v>
      </c>
      <c r="I163" s="7">
        <f>'Cash flow statement'!H35</f>
        <v>-302</v>
      </c>
      <c r="J163" s="7">
        <f>'Cash flow statement'!I35</f>
        <v>-319</v>
      </c>
      <c r="K163" s="7">
        <f>'Cash flow statement'!J35</f>
        <v>-407</v>
      </c>
      <c r="L163" s="7">
        <f>'Cash flow statement'!K35</f>
        <v>-402</v>
      </c>
    </row>
    <row r="164" spans="2:12" x14ac:dyDescent="0.2">
      <c r="B164" s="14" t="s">
        <v>224</v>
      </c>
      <c r="C164" s="7">
        <f>'Cash flow statement'!B36</f>
        <v>709</v>
      </c>
      <c r="D164" s="7">
        <f>'Cash flow statement'!C36</f>
        <v>322</v>
      </c>
      <c r="E164" s="7" t="str">
        <f>'Cash flow statement'!D36</f>
        <v>—</v>
      </c>
      <c r="F164" s="7" t="str">
        <f>'Cash flow statement'!E36</f>
        <v>—</v>
      </c>
      <c r="G164" s="7" t="str">
        <f>'Cash flow statement'!F36</f>
        <v>—</v>
      </c>
      <c r="H164" s="7" t="str">
        <f>'Cash flow statement'!G36</f>
        <v>—</v>
      </c>
      <c r="I164" s="7" t="str">
        <f>'Cash flow statement'!H36</f>
        <v>—</v>
      </c>
      <c r="J164" s="7" t="str">
        <f>'Cash flow statement'!I36</f>
        <v>—</v>
      </c>
      <c r="K164" s="7" t="str">
        <f>'Cash flow statement'!J36</f>
        <v>—</v>
      </c>
      <c r="L164" s="7" t="str">
        <f>'Cash flow statement'!K36</f>
        <v>—</v>
      </c>
    </row>
    <row r="165" spans="2:12" x14ac:dyDescent="0.2">
      <c r="B165" s="14" t="s">
        <v>225</v>
      </c>
      <c r="C165" s="7" t="str">
        <f>'Cash flow statement'!B37</f>
        <v>—</v>
      </c>
      <c r="D165" s="7" t="str">
        <f>'Cash flow statement'!C37</f>
        <v>—</v>
      </c>
      <c r="E165" s="7">
        <f>'Cash flow statement'!D37</f>
        <v>204</v>
      </c>
      <c r="F165" s="7">
        <f>'Cash flow statement'!E37</f>
        <v>175</v>
      </c>
      <c r="G165" s="7">
        <f>'Cash flow statement'!F37</f>
        <v>111</v>
      </c>
      <c r="H165" s="7">
        <f>'Cash flow statement'!G37</f>
        <v>99</v>
      </c>
      <c r="I165" s="7">
        <f>'Cash flow statement'!H37</f>
        <v>92</v>
      </c>
      <c r="J165" s="7">
        <f>'Cash flow statement'!I37</f>
        <v>70</v>
      </c>
      <c r="K165" s="7">
        <f>'Cash flow statement'!J37</f>
        <v>176</v>
      </c>
      <c r="L165" s="7">
        <f>'Cash flow statement'!K37</f>
        <v>176</v>
      </c>
    </row>
    <row r="166" spans="2:12" x14ac:dyDescent="0.2">
      <c r="B166" s="17" t="s">
        <v>47</v>
      </c>
      <c r="C166" s="7" t="str">
        <f>'Cash flow statement'!B38</f>
        <v>—</v>
      </c>
      <c r="D166" s="7" t="str">
        <f>'Cash flow statement'!C38</f>
        <v>—</v>
      </c>
      <c r="E166" s="7" t="str">
        <f>'Cash flow statement'!D38</f>
        <v>—</v>
      </c>
      <c r="F166" s="7" t="str">
        <f>'Cash flow statement'!E38</f>
        <v>—</v>
      </c>
      <c r="G166" s="7" t="str">
        <f>'Cash flow statement'!F38</f>
        <v>—</v>
      </c>
      <c r="H166" s="7" t="str">
        <f>'Cash flow statement'!G38</f>
        <v>—</v>
      </c>
      <c r="I166" s="7" t="str">
        <f>'Cash flow statement'!H38</f>
        <v>—</v>
      </c>
      <c r="J166" s="7">
        <f>'Cash flow statement'!I38</f>
        <v>879</v>
      </c>
      <c r="K166" s="7" t="str">
        <f>'Cash flow statement'!J38</f>
        <v>—</v>
      </c>
      <c r="L166" s="7" t="str">
        <f>'Cash flow statement'!K38</f>
        <v>—</v>
      </c>
    </row>
    <row r="167" spans="2:12" x14ac:dyDescent="0.2">
      <c r="B167" s="14" t="s">
        <v>25</v>
      </c>
      <c r="C167" s="7">
        <f>'Cash flow statement'!B39</f>
        <v>-4265</v>
      </c>
      <c r="D167" s="7">
        <f>'Cash flow statement'!C39</f>
        <v>-4897</v>
      </c>
      <c r="E167" s="7">
        <f>'Cash flow statement'!D39</f>
        <v>-5256</v>
      </c>
      <c r="F167" s="7">
        <f>'Cash flow statement'!E39</f>
        <v>-5506</v>
      </c>
      <c r="G167" s="7">
        <f>'Cash flow statement'!F39</f>
        <v>-5666</v>
      </c>
      <c r="H167" s="7">
        <f>'Cash flow statement'!G39</f>
        <v>-5707</v>
      </c>
      <c r="I167" s="7">
        <f>'Cash flow statement'!H39</f>
        <v>-5797</v>
      </c>
      <c r="J167" s="7">
        <f>'Cash flow statement'!I39</f>
        <v>-5869</v>
      </c>
      <c r="K167" s="7">
        <f>'Cash flow statement'!J39</f>
        <v>-5948</v>
      </c>
      <c r="L167" s="7">
        <f>'Cash flow statement'!K39</f>
        <v>-6040</v>
      </c>
    </row>
    <row r="168" spans="2:12" x14ac:dyDescent="0.2">
      <c r="B168" s="28" t="s">
        <v>38</v>
      </c>
      <c r="C168" s="27">
        <f>'Cash flow statement'!B40</f>
        <v>-15452</v>
      </c>
      <c r="D168" s="27">
        <f>'Cash flow statement'!C40</f>
        <v>-9413</v>
      </c>
      <c r="E168" s="27">
        <f>'Cash flow statement'!D40</f>
        <v>-5725</v>
      </c>
      <c r="F168" s="27">
        <f>'Cash flow statement'!E40</f>
        <v>-6417</v>
      </c>
      <c r="G168" s="27">
        <f>'Cash flow statement'!F40</f>
        <v>-10470</v>
      </c>
      <c r="H168" s="27">
        <f>'Cash flow statement'!G40</f>
        <v>9043</v>
      </c>
      <c r="I168" s="27">
        <f>'Cash flow statement'!H40</f>
        <v>-9721</v>
      </c>
      <c r="J168" s="27">
        <f>'Cash flow statement'!I40</f>
        <v>-13354</v>
      </c>
      <c r="K168" s="27">
        <f>'Cash flow statement'!J40</f>
        <v>-4958</v>
      </c>
      <c r="L168" s="27">
        <f>'Cash flow statement'!K40</f>
        <v>-1769</v>
      </c>
    </row>
    <row r="169" spans="2:12" x14ac:dyDescent="0.2">
      <c r="B169" s="21"/>
      <c r="C169" s="7"/>
      <c r="D169" s="7"/>
      <c r="E169" s="7"/>
      <c r="F169" s="7"/>
      <c r="G169" s="7"/>
      <c r="H169" s="7"/>
      <c r="I169" s="7"/>
      <c r="J169" s="7"/>
      <c r="K169" s="7"/>
      <c r="L169" s="7"/>
    </row>
    <row r="170" spans="2:12" ht="30" x14ac:dyDescent="0.2">
      <c r="B170" s="14" t="s">
        <v>26</v>
      </c>
      <c r="C170" s="7">
        <f>'Cash flow statement'!B41</f>
        <v>-655</v>
      </c>
      <c r="D170" s="7">
        <f>'Cash flow statement'!C41</f>
        <v>-473</v>
      </c>
      <c r="E170" s="7">
        <f>'Cash flow statement'!D41</f>
        <v>-51</v>
      </c>
      <c r="F170" s="7">
        <f>'Cash flow statement'!E41</f>
        <v>937</v>
      </c>
      <c r="G170" s="7">
        <f>'Cash flow statement'!F41</f>
        <v>-495</v>
      </c>
      <c r="H170" s="7">
        <f>'Cash flow statement'!G41</f>
        <v>-167</v>
      </c>
      <c r="I170" s="7">
        <f>'Cash flow statement'!H41</f>
        <v>-87</v>
      </c>
      <c r="J170" s="7">
        <f>'Cash flow statement'!I41</f>
        <v>-185</v>
      </c>
      <c r="K170" s="7">
        <f>'Cash flow statement'!J41</f>
        <v>-244</v>
      </c>
      <c r="L170" s="7">
        <f>'Cash flow statement'!K41</f>
        <v>9</v>
      </c>
    </row>
    <row r="171" spans="2:12" x14ac:dyDescent="0.2">
      <c r="B171" s="14" t="s">
        <v>27</v>
      </c>
      <c r="C171" s="7">
        <f>'Cash flow statement'!B42</f>
        <v>-2238</v>
      </c>
      <c r="D171" s="7">
        <f>'Cash flow statement'!C42</f>
        <v>-789</v>
      </c>
      <c r="E171" s="7">
        <f>'Cash flow statement'!D42</f>
        <v>381</v>
      </c>
      <c r="F171" s="7">
        <f>'Cash flow statement'!E42</f>
        <v>4162</v>
      </c>
      <c r="G171" s="7">
        <f>'Cash flow statement'!F42</f>
        <v>-628</v>
      </c>
      <c r="H171" s="7">
        <f>'Cash flow statement'!G42</f>
        <v>-3288</v>
      </c>
      <c r="I171" s="7">
        <f>'Cash flow statement'!H42</f>
        <v>5362</v>
      </c>
      <c r="J171" s="7">
        <f>'Cash flow statement'!I42</f>
        <v>-6717</v>
      </c>
      <c r="K171" s="7">
        <f>'Cash flow statement'!J42</f>
        <v>1031</v>
      </c>
      <c r="L171" s="7">
        <f>'Cash flow statement'!K42</f>
        <v>5099</v>
      </c>
    </row>
    <row r="172" spans="2:12" x14ac:dyDescent="0.2">
      <c r="B172" s="14" t="s">
        <v>28</v>
      </c>
      <c r="C172" s="7">
        <f>'Cash flow statement'!B43</f>
        <v>10714</v>
      </c>
      <c r="D172" s="7">
        <f>'Cash flow statement'!C43</f>
        <v>8476</v>
      </c>
      <c r="E172" s="7">
        <f>'Cash flow statement'!D43</f>
        <v>7687</v>
      </c>
      <c r="F172" s="7">
        <f>'Cash flow statement'!E43</f>
        <v>8068</v>
      </c>
      <c r="G172" s="7">
        <f>'Cash flow statement'!F43</f>
        <v>12230</v>
      </c>
      <c r="H172" s="7">
        <f>'Cash flow statement'!G43</f>
        <v>11602</v>
      </c>
      <c r="I172" s="7">
        <f>'Cash flow statement'!H43</f>
        <v>8314</v>
      </c>
      <c r="J172" s="7">
        <f>'Cash flow statement'!I43</f>
        <v>13676</v>
      </c>
      <c r="K172" s="7">
        <f>'Cash flow statement'!J43</f>
        <v>6959</v>
      </c>
      <c r="L172" s="7">
        <f>'Cash flow statement'!K43</f>
        <v>7990</v>
      </c>
    </row>
    <row r="173" spans="2:12" x14ac:dyDescent="0.2">
      <c r="B173" s="28" t="s">
        <v>29</v>
      </c>
      <c r="C173" s="27">
        <f>'Cash flow statement'!B44</f>
        <v>8476</v>
      </c>
      <c r="D173" s="27">
        <f>'Cash flow statement'!C44</f>
        <v>7687</v>
      </c>
      <c r="E173" s="27">
        <f>'Cash flow statement'!D44</f>
        <v>8068</v>
      </c>
      <c r="F173" s="27">
        <f>'Cash flow statement'!E44</f>
        <v>12230</v>
      </c>
      <c r="G173" s="27">
        <f>'Cash flow statement'!F44</f>
        <v>11602</v>
      </c>
      <c r="H173" s="27">
        <f>'Cash flow statement'!G44</f>
        <v>8314</v>
      </c>
      <c r="I173" s="27">
        <f>'Cash flow statement'!H44</f>
        <v>13676</v>
      </c>
      <c r="J173" s="27">
        <f>'Cash flow statement'!I44</f>
        <v>6959</v>
      </c>
      <c r="K173" s="27">
        <f>'Cash flow statement'!J44</f>
        <v>7990</v>
      </c>
      <c r="L173" s="27">
        <f>'Cash flow statement'!K44</f>
        <v>13089</v>
      </c>
    </row>
    <row r="174" spans="2:12" x14ac:dyDescent="0.2">
      <c r="B174" s="21"/>
      <c r="C174" s="7"/>
      <c r="D174" s="7"/>
      <c r="E174" s="7"/>
      <c r="F174" s="7"/>
      <c r="G174" s="7"/>
      <c r="H174" s="7"/>
      <c r="I174" s="7"/>
      <c r="J174" s="7"/>
      <c r="K174" s="7"/>
      <c r="L174" s="7"/>
    </row>
    <row r="175" spans="2:12" x14ac:dyDescent="0.2">
      <c r="B175" s="21" t="s">
        <v>30</v>
      </c>
      <c r="C175" s="7"/>
      <c r="D175" s="7"/>
      <c r="E175" s="7"/>
      <c r="F175" s="7"/>
      <c r="G175" s="7"/>
      <c r="H175" s="7"/>
      <c r="I175" s="7"/>
      <c r="J175" s="7"/>
      <c r="K175" s="7"/>
      <c r="L175" s="7"/>
    </row>
    <row r="176" spans="2:12" x14ac:dyDescent="0.2">
      <c r="B176" s="14" t="s">
        <v>31</v>
      </c>
      <c r="C176" s="7">
        <f>'Cash flow statement'!B46</f>
        <v>5748</v>
      </c>
      <c r="D176" s="7">
        <f>'Cash flow statement'!C46</f>
        <v>2657</v>
      </c>
      <c r="E176" s="7">
        <f>'Cash flow statement'!D46</f>
        <v>1078</v>
      </c>
      <c r="F176" s="7">
        <f>'Cash flow statement'!E46</f>
        <v>1597</v>
      </c>
      <c r="G176" s="7">
        <f>'Cash flow statement'!F46</f>
        <v>1745</v>
      </c>
      <c r="H176" s="7">
        <f>'Cash flow statement'!G46</f>
        <v>2091</v>
      </c>
      <c r="I176" s="7">
        <f>'Cash flow statement'!H46</f>
        <v>2253</v>
      </c>
      <c r="J176" s="7">
        <f>'Cash flow statement'!I46</f>
        <v>2103</v>
      </c>
      <c r="K176" s="7">
        <f>'Cash flow statement'!J46</f>
        <v>1865</v>
      </c>
      <c r="L176" s="7">
        <f>'Cash flow statement'!K46</f>
        <v>1564</v>
      </c>
    </row>
    <row r="177" spans="1:12" x14ac:dyDescent="0.2">
      <c r="B177" s="14" t="s">
        <v>32</v>
      </c>
      <c r="C177" s="7">
        <f>'Cash flow statement'!B47</f>
        <v>1061</v>
      </c>
      <c r="D177" s="7">
        <f>'Cash flow statement'!C47</f>
        <v>995</v>
      </c>
      <c r="E177" s="7">
        <f>'Cash flow statement'!D47</f>
        <v>1158</v>
      </c>
      <c r="F177" s="7">
        <f>'Cash flow statement'!E47</f>
        <v>1208</v>
      </c>
      <c r="G177" s="7">
        <f>'Cash flow statement'!F47</f>
        <v>1423</v>
      </c>
      <c r="H177" s="7">
        <f>'Cash flow statement'!G47</f>
        <v>1685</v>
      </c>
      <c r="I177" s="7">
        <f>'Cash flow statement'!H47</f>
        <v>1830</v>
      </c>
      <c r="J177" s="7">
        <f>'Cash flow statement'!I47</f>
        <v>1512</v>
      </c>
      <c r="K177" s="7">
        <f>'Cash flow statement'!J47</f>
        <v>1401</v>
      </c>
      <c r="L177" s="7">
        <f>'Cash flow statement'!K47</f>
        <v>1668</v>
      </c>
    </row>
    <row r="181" spans="1:12" x14ac:dyDescent="0.2">
      <c r="A181" s="3" t="s">
        <v>182</v>
      </c>
    </row>
  </sheetData>
  <mergeCells count="1">
    <mergeCell ref="B2:L2"/>
  </mergeCells>
  <pageMargins left="0.7" right="0.7" top="0.75" bottom="0.75" header="0.3" footer="0.3"/>
  <pageSetup paperSize="9" orientation="portrait" r:id="rId1"/>
  <ignoredErrors>
    <ignoredError sqref="D52:L52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607"/>
  <sheetViews>
    <sheetView showGridLines="0" zoomScaleNormal="100" workbookViewId="0">
      <pane ySplit="3" topLeftCell="A4" activePane="bottomLeft" state="frozen"/>
      <selection pane="bottomLeft"/>
    </sheetView>
  </sheetViews>
  <sheetFormatPr defaultColWidth="17.6640625" defaultRowHeight="15" outlineLevelRow="2" x14ac:dyDescent="0.2"/>
  <cols>
    <col min="1" max="2" width="3" style="3" customWidth="1"/>
    <col min="3" max="3" width="47" style="44" customWidth="1"/>
    <col min="4" max="11" width="15.83203125" style="10" customWidth="1"/>
    <col min="12" max="12" width="15.83203125" style="3" customWidth="1"/>
    <col min="13" max="13" width="15.1640625" style="10" customWidth="1"/>
    <col min="14" max="14" width="40.33203125" style="3" customWidth="1"/>
    <col min="15" max="15" width="47.6640625" style="10" customWidth="1"/>
    <col min="16" max="16" width="21" style="10" customWidth="1"/>
    <col min="17" max="17" width="35.83203125" style="10" customWidth="1"/>
    <col min="18" max="18" width="17.6640625" style="3"/>
    <col min="19" max="19" width="27.83203125" style="10" customWidth="1"/>
    <col min="20" max="20" width="17.6640625" style="3"/>
    <col min="21" max="21" width="26.6640625" style="10" customWidth="1"/>
    <col min="22" max="22" width="20.83203125" style="3" customWidth="1"/>
    <col min="23" max="23" width="29.6640625" style="10" customWidth="1"/>
    <col min="24" max="16384" width="17.6640625" style="3"/>
  </cols>
  <sheetData>
    <row r="2" spans="1:33" ht="23.25" customHeight="1" x14ac:dyDescent="0.2">
      <c r="C2" s="337" t="s">
        <v>316</v>
      </c>
      <c r="D2" s="337"/>
      <c r="E2" s="337"/>
      <c r="F2" s="337"/>
      <c r="G2" s="337"/>
      <c r="H2" s="337"/>
      <c r="I2" s="337"/>
      <c r="J2" s="337"/>
      <c r="K2" s="337"/>
      <c r="L2" s="337"/>
      <c r="M2" s="337"/>
    </row>
    <row r="3" spans="1:33" x14ac:dyDescent="0.2">
      <c r="C3" s="166" t="s">
        <v>472</v>
      </c>
      <c r="D3" s="134">
        <v>2014</v>
      </c>
      <c r="E3" s="134">
        <v>2015</v>
      </c>
      <c r="F3" s="134">
        <v>2016</v>
      </c>
      <c r="G3" s="134">
        <v>2017</v>
      </c>
      <c r="H3" s="134">
        <v>2018</v>
      </c>
      <c r="I3" s="134">
        <v>2019</v>
      </c>
      <c r="J3" s="134">
        <v>2020</v>
      </c>
      <c r="K3" s="134">
        <v>2021</v>
      </c>
      <c r="L3" s="134">
        <v>2022</v>
      </c>
      <c r="M3" s="134">
        <v>2023</v>
      </c>
      <c r="N3" s="87"/>
      <c r="O3" s="130"/>
      <c r="P3" s="87"/>
      <c r="Q3" s="130"/>
      <c r="Y3" s="10"/>
      <c r="Z3" s="10"/>
      <c r="AA3" s="10"/>
      <c r="AC3" s="10"/>
      <c r="AE3" s="10"/>
      <c r="AG3" s="10"/>
    </row>
    <row r="4" spans="1:33" x14ac:dyDescent="0.2">
      <c r="A4" s="3" t="s">
        <v>182</v>
      </c>
      <c r="B4" s="3" t="s">
        <v>182</v>
      </c>
      <c r="C4" s="131"/>
      <c r="D4" s="133"/>
      <c r="E4" s="133"/>
      <c r="F4" s="133"/>
      <c r="G4" s="133"/>
      <c r="H4" s="133"/>
      <c r="I4" s="133"/>
      <c r="J4" s="133"/>
      <c r="K4" s="133"/>
      <c r="L4" s="133"/>
      <c r="M4" s="133"/>
      <c r="N4" s="87"/>
      <c r="O4" s="130"/>
      <c r="P4" s="87"/>
      <c r="Q4" s="130"/>
      <c r="Y4" s="10"/>
      <c r="Z4" s="10"/>
      <c r="AA4" s="10"/>
      <c r="AC4" s="10"/>
      <c r="AE4" s="10"/>
      <c r="AG4" s="10"/>
    </row>
    <row r="5" spans="1:33" s="1" customFormat="1" ht="21" x14ac:dyDescent="0.2">
      <c r="A5" s="3"/>
      <c r="B5" s="3"/>
      <c r="C5" s="334" t="s">
        <v>134</v>
      </c>
      <c r="D5" s="334"/>
      <c r="E5" s="334"/>
      <c r="F5" s="334"/>
      <c r="G5" s="334"/>
      <c r="H5" s="334"/>
      <c r="I5" s="334"/>
      <c r="J5" s="334"/>
      <c r="K5" s="334"/>
      <c r="L5" s="334"/>
      <c r="M5" s="334"/>
      <c r="N5" s="159"/>
      <c r="O5" s="159"/>
      <c r="P5" s="159"/>
      <c r="Q5" s="159"/>
      <c r="S5" s="2"/>
      <c r="U5" s="2"/>
      <c r="W5" s="2"/>
      <c r="Y5" s="2"/>
      <c r="Z5" s="2"/>
      <c r="AA5" s="2"/>
      <c r="AC5" s="2"/>
      <c r="AE5" s="2"/>
      <c r="AG5" s="2"/>
    </row>
    <row r="6" spans="1:33" outlineLevel="1" x14ac:dyDescent="0.2">
      <c r="C6" s="148"/>
      <c r="D6" s="148"/>
      <c r="E6" s="148"/>
      <c r="F6" s="148"/>
      <c r="G6" s="148"/>
      <c r="H6" s="148"/>
      <c r="I6" s="148"/>
      <c r="J6" s="148"/>
      <c r="K6" s="148"/>
      <c r="L6" s="148"/>
      <c r="M6" s="148"/>
      <c r="N6" s="335"/>
      <c r="O6" s="335"/>
      <c r="P6" s="335"/>
      <c r="Q6" s="335"/>
      <c r="Y6" s="10"/>
      <c r="Z6" s="10"/>
      <c r="AA6" s="10"/>
      <c r="AC6" s="10"/>
      <c r="AE6" s="10"/>
      <c r="AG6" s="10"/>
    </row>
    <row r="7" spans="1:33" outlineLevel="1" x14ac:dyDescent="0.2">
      <c r="C7" s="132" t="s">
        <v>310</v>
      </c>
      <c r="D7" s="87">
        <v>92793</v>
      </c>
      <c r="E7" s="87">
        <v>81742</v>
      </c>
      <c r="F7" s="87">
        <v>79920</v>
      </c>
      <c r="G7" s="87">
        <v>79139</v>
      </c>
      <c r="H7" s="87">
        <v>79591</v>
      </c>
      <c r="I7" s="87">
        <v>57714</v>
      </c>
      <c r="J7" s="87">
        <v>55179</v>
      </c>
      <c r="K7" s="87">
        <v>57351</v>
      </c>
      <c r="L7" s="87">
        <v>60530</v>
      </c>
      <c r="M7" s="87">
        <v>61860</v>
      </c>
      <c r="N7" s="87"/>
      <c r="O7" s="130"/>
      <c r="P7" s="87"/>
      <c r="Q7" s="130"/>
      <c r="Y7" s="10"/>
      <c r="Z7" s="10"/>
      <c r="AA7" s="10"/>
      <c r="AC7" s="10"/>
      <c r="AE7" s="10"/>
      <c r="AG7" s="10"/>
    </row>
    <row r="8" spans="1:33" outlineLevel="1" x14ac:dyDescent="0.2">
      <c r="C8" s="138" t="s">
        <v>127</v>
      </c>
      <c r="D8" s="136" t="s">
        <v>58</v>
      </c>
      <c r="E8" s="137">
        <f>E7/D7-1</f>
        <v>-0.11909303503497026</v>
      </c>
      <c r="F8" s="137">
        <f t="shared" ref="F8:M8" si="0">F7/E7-1</f>
        <v>-2.2289643023170491E-2</v>
      </c>
      <c r="G8" s="137">
        <f t="shared" si="0"/>
        <v>-9.7722722722722866E-3</v>
      </c>
      <c r="H8" s="137">
        <f t="shared" si="0"/>
        <v>5.7114696925661956E-3</v>
      </c>
      <c r="I8" s="137">
        <f t="shared" si="0"/>
        <v>-0.27486776143031244</v>
      </c>
      <c r="J8" s="137">
        <f t="shared" si="0"/>
        <v>-4.3923484769726628E-2</v>
      </c>
      <c r="K8" s="137">
        <f t="shared" si="0"/>
        <v>3.9362801065622843E-2</v>
      </c>
      <c r="L8" s="137">
        <f t="shared" si="0"/>
        <v>5.5430594061132377E-2</v>
      </c>
      <c r="M8" s="137">
        <f t="shared" si="0"/>
        <v>2.197257558235588E-2</v>
      </c>
      <c r="N8" s="87"/>
      <c r="O8" s="130"/>
      <c r="P8" s="87"/>
      <c r="Q8" s="130"/>
      <c r="Y8" s="10"/>
      <c r="Z8" s="10"/>
      <c r="AA8" s="10"/>
      <c r="AC8" s="10"/>
      <c r="AE8" s="10"/>
      <c r="AG8" s="10"/>
    </row>
    <row r="9" spans="1:33" outlineLevel="1" x14ac:dyDescent="0.2">
      <c r="C9" s="132"/>
      <c r="D9" s="129"/>
      <c r="E9" s="130"/>
      <c r="F9" s="130"/>
      <c r="G9" s="130"/>
      <c r="H9" s="130"/>
      <c r="I9" s="130"/>
      <c r="J9" s="130"/>
      <c r="K9" s="130"/>
      <c r="L9" s="130"/>
      <c r="M9" s="130"/>
      <c r="N9" s="87"/>
      <c r="O9" s="130"/>
      <c r="P9" s="87"/>
      <c r="Q9" s="130"/>
      <c r="Y9" s="10"/>
      <c r="Z9" s="10"/>
      <c r="AA9" s="10"/>
      <c r="AC9" s="10"/>
      <c r="AE9" s="10"/>
      <c r="AG9" s="10"/>
    </row>
    <row r="10" spans="1:33" outlineLevel="1" x14ac:dyDescent="0.2">
      <c r="C10" s="132" t="s">
        <v>156</v>
      </c>
      <c r="D10" s="87">
        <v>46386</v>
      </c>
      <c r="E10" s="87">
        <v>41057</v>
      </c>
      <c r="F10" s="87">
        <v>41402</v>
      </c>
      <c r="G10" s="87">
        <v>42196</v>
      </c>
      <c r="H10" s="87">
        <v>42654</v>
      </c>
      <c r="I10" s="87">
        <v>26180</v>
      </c>
      <c r="J10" s="87">
        <v>24314</v>
      </c>
      <c r="K10" s="87">
        <v>25865</v>
      </c>
      <c r="L10" s="87">
        <v>27842</v>
      </c>
      <c r="M10" s="87">
        <v>27560</v>
      </c>
      <c r="N10" s="87"/>
      <c r="O10" s="130"/>
      <c r="P10" s="87"/>
      <c r="Q10" s="130"/>
      <c r="Y10" s="10"/>
      <c r="Z10" s="10"/>
      <c r="AA10" s="10"/>
      <c r="AC10" s="10"/>
      <c r="AE10" s="10"/>
      <c r="AG10" s="10"/>
    </row>
    <row r="11" spans="1:33" outlineLevel="1" x14ac:dyDescent="0.2">
      <c r="C11" s="138" t="s">
        <v>127</v>
      </c>
      <c r="D11" s="136" t="s">
        <v>58</v>
      </c>
      <c r="E11" s="137">
        <f>E10/D10-1</f>
        <v>-0.11488380114689778</v>
      </c>
      <c r="F11" s="137">
        <f t="shared" ref="F11:M11" si="1">F10/E10-1</f>
        <v>8.4029519935699959E-3</v>
      </c>
      <c r="G11" s="137">
        <f t="shared" si="1"/>
        <v>1.9177817496739191E-2</v>
      </c>
      <c r="H11" s="137">
        <f t="shared" si="1"/>
        <v>1.0854109394255351E-2</v>
      </c>
      <c r="I11" s="137">
        <f t="shared" si="1"/>
        <v>-0.386224035260468</v>
      </c>
      <c r="J11" s="137">
        <f t="shared" si="1"/>
        <v>-7.1275783040488871E-2</v>
      </c>
      <c r="K11" s="137">
        <f t="shared" si="1"/>
        <v>6.379040881796505E-2</v>
      </c>
      <c r="L11" s="137">
        <f t="shared" si="1"/>
        <v>7.6435337328436104E-2</v>
      </c>
      <c r="M11" s="137">
        <f t="shared" si="1"/>
        <v>-1.0128582716758872E-2</v>
      </c>
      <c r="N11" s="87"/>
      <c r="O11" s="130"/>
      <c r="P11" s="87"/>
      <c r="Q11" s="130"/>
      <c r="Y11" s="10"/>
      <c r="Z11" s="10"/>
      <c r="AA11" s="10"/>
      <c r="AC11" s="10"/>
      <c r="AE11" s="10"/>
      <c r="AG11" s="10"/>
    </row>
    <row r="12" spans="1:33" outlineLevel="1" x14ac:dyDescent="0.2">
      <c r="C12" s="132"/>
      <c r="D12" s="129"/>
      <c r="E12" s="130"/>
      <c r="F12" s="130"/>
      <c r="G12" s="130"/>
      <c r="H12" s="130"/>
      <c r="I12" s="130"/>
      <c r="J12" s="130"/>
      <c r="K12" s="130"/>
      <c r="L12" s="130"/>
      <c r="M12" s="130"/>
      <c r="N12" s="87"/>
      <c r="O12" s="130"/>
      <c r="P12" s="87"/>
      <c r="Q12" s="130"/>
      <c r="Y12" s="10"/>
      <c r="Z12" s="10"/>
      <c r="AA12" s="10"/>
      <c r="AC12" s="10"/>
      <c r="AE12" s="10"/>
      <c r="AG12" s="10"/>
    </row>
    <row r="13" spans="1:33" outlineLevel="1" x14ac:dyDescent="0.2">
      <c r="C13" s="132" t="s">
        <v>125</v>
      </c>
      <c r="D13" s="87">
        <v>46407</v>
      </c>
      <c r="E13" s="87">
        <v>40685</v>
      </c>
      <c r="F13" s="87">
        <v>38518</v>
      </c>
      <c r="G13" s="87">
        <v>36943</v>
      </c>
      <c r="H13" s="87">
        <v>36937</v>
      </c>
      <c r="I13" s="87">
        <v>31534</v>
      </c>
      <c r="J13" s="87">
        <v>30865</v>
      </c>
      <c r="K13" s="87">
        <v>31486</v>
      </c>
      <c r="L13" s="87">
        <v>32688</v>
      </c>
      <c r="M13" s="87">
        <v>34300</v>
      </c>
      <c r="N13" s="87"/>
      <c r="O13" s="130"/>
      <c r="P13" s="87"/>
      <c r="Q13" s="130"/>
      <c r="Y13" s="10"/>
      <c r="Z13" s="10"/>
      <c r="AA13" s="10"/>
      <c r="AC13" s="10"/>
      <c r="AE13" s="10"/>
      <c r="AG13" s="10"/>
    </row>
    <row r="14" spans="1:33" outlineLevel="1" x14ac:dyDescent="0.2">
      <c r="C14" s="138" t="s">
        <v>127</v>
      </c>
      <c r="D14" s="136" t="s">
        <v>58</v>
      </c>
      <c r="E14" s="137">
        <f>E13/D13-1</f>
        <v>-0.12330036416919865</v>
      </c>
      <c r="F14" s="137">
        <f t="shared" ref="F14:M14" si="2">F13/E13-1</f>
        <v>-5.3262873294826152E-2</v>
      </c>
      <c r="G14" s="137">
        <f t="shared" si="2"/>
        <v>-4.0889973518874245E-2</v>
      </c>
      <c r="H14" s="137">
        <f t="shared" si="2"/>
        <v>-1.624123649947018E-4</v>
      </c>
      <c r="I14" s="137">
        <f t="shared" si="2"/>
        <v>-0.14627609172374578</v>
      </c>
      <c r="J14" s="137">
        <f t="shared" si="2"/>
        <v>-2.1215196296061389E-2</v>
      </c>
      <c r="K14" s="137">
        <f t="shared" si="2"/>
        <v>2.0119876883200938E-2</v>
      </c>
      <c r="L14" s="137">
        <f t="shared" si="2"/>
        <v>3.8175697135234721E-2</v>
      </c>
      <c r="M14" s="137">
        <f t="shared" si="2"/>
        <v>4.9314733235438002E-2</v>
      </c>
      <c r="N14" s="87"/>
      <c r="O14" s="130"/>
      <c r="P14" s="87"/>
      <c r="Q14" s="130"/>
      <c r="Y14" s="10"/>
      <c r="Z14" s="10"/>
      <c r="AA14" s="10"/>
      <c r="AC14" s="10"/>
      <c r="AE14" s="10"/>
      <c r="AG14" s="10"/>
    </row>
    <row r="15" spans="1:33" outlineLevel="1" x14ac:dyDescent="0.2">
      <c r="C15" s="132"/>
      <c r="D15" s="129"/>
      <c r="E15" s="130"/>
      <c r="F15" s="130"/>
      <c r="G15" s="130"/>
      <c r="H15" s="130"/>
      <c r="I15" s="130"/>
      <c r="J15" s="130"/>
      <c r="K15" s="130"/>
      <c r="L15" s="130"/>
      <c r="M15" s="130"/>
      <c r="N15" s="87"/>
      <c r="O15" s="130"/>
      <c r="P15" s="87"/>
      <c r="Q15" s="130"/>
      <c r="Y15" s="10"/>
      <c r="Z15" s="10"/>
      <c r="AA15" s="10"/>
      <c r="AC15" s="10"/>
      <c r="AE15" s="10"/>
      <c r="AG15" s="10"/>
    </row>
    <row r="16" spans="1:33" outlineLevel="1" x14ac:dyDescent="0.2">
      <c r="C16" s="132" t="s">
        <v>77</v>
      </c>
      <c r="D16" s="87">
        <v>28617</v>
      </c>
      <c r="E16" s="87">
        <v>25677</v>
      </c>
      <c r="F16" s="87">
        <v>26595</v>
      </c>
      <c r="G16" s="87">
        <v>25270</v>
      </c>
      <c r="H16" s="87">
        <v>24745</v>
      </c>
      <c r="I16" s="87">
        <v>24634</v>
      </c>
      <c r="J16" s="87">
        <v>26823</v>
      </c>
      <c r="K16" s="87">
        <v>25233</v>
      </c>
      <c r="L16" s="87">
        <v>25176</v>
      </c>
      <c r="M16" s="87">
        <v>25778</v>
      </c>
      <c r="N16" s="87"/>
      <c r="O16" s="130"/>
      <c r="P16" s="87"/>
      <c r="Q16" s="130"/>
      <c r="Y16" s="10"/>
      <c r="Z16" s="10"/>
      <c r="AA16" s="10"/>
      <c r="AC16" s="10"/>
      <c r="AE16" s="10"/>
      <c r="AG16" s="10"/>
    </row>
    <row r="17" spans="2:33" outlineLevel="1" x14ac:dyDescent="0.2">
      <c r="C17" s="138" t="s">
        <v>127</v>
      </c>
      <c r="D17" s="136" t="s">
        <v>58</v>
      </c>
      <c r="E17" s="137">
        <f>E16/D16-1</f>
        <v>-0.10273613586329799</v>
      </c>
      <c r="F17" s="137">
        <f t="shared" ref="F17:M17" si="3">F16/E16-1</f>
        <v>3.5751840168243953E-2</v>
      </c>
      <c r="G17" s="137">
        <f t="shared" si="3"/>
        <v>-4.982139499906002E-2</v>
      </c>
      <c r="H17" s="137">
        <f t="shared" si="3"/>
        <v>-2.0775623268698085E-2</v>
      </c>
      <c r="I17" s="137">
        <f t="shared" si="3"/>
        <v>-4.4857546979187868E-3</v>
      </c>
      <c r="J17" s="137">
        <f t="shared" si="3"/>
        <v>8.8860923926280755E-2</v>
      </c>
      <c r="K17" s="137">
        <f t="shared" si="3"/>
        <v>-5.9277485739850144E-2</v>
      </c>
      <c r="L17" s="137">
        <f t="shared" si="3"/>
        <v>-2.258946617524682E-3</v>
      </c>
      <c r="M17" s="137">
        <f t="shared" si="3"/>
        <v>2.3911661900222425E-2</v>
      </c>
      <c r="N17" s="87"/>
      <c r="O17" s="130"/>
      <c r="P17" s="87"/>
      <c r="Q17" s="130"/>
      <c r="Y17" s="10"/>
      <c r="Z17" s="10"/>
      <c r="AA17" s="10"/>
      <c r="AC17" s="10"/>
      <c r="AE17" s="10"/>
      <c r="AG17" s="10"/>
    </row>
    <row r="18" spans="2:33" outlineLevel="1" x14ac:dyDescent="0.2">
      <c r="C18" s="132"/>
      <c r="D18" s="129"/>
      <c r="E18" s="130"/>
      <c r="F18" s="130"/>
      <c r="G18" s="130"/>
      <c r="H18" s="130"/>
      <c r="I18" s="130"/>
      <c r="J18" s="130"/>
      <c r="K18" s="130"/>
      <c r="L18" s="130"/>
      <c r="M18" s="130"/>
      <c r="N18" s="87"/>
      <c r="O18" s="130"/>
      <c r="P18" s="87"/>
      <c r="Q18" s="130"/>
      <c r="Y18" s="10"/>
      <c r="Z18" s="10"/>
      <c r="AA18" s="10"/>
      <c r="AC18" s="10"/>
      <c r="AE18" s="10"/>
      <c r="AG18" s="10"/>
    </row>
    <row r="19" spans="2:33" outlineLevel="1" x14ac:dyDescent="0.2">
      <c r="C19" s="132" t="s">
        <v>78</v>
      </c>
      <c r="D19" s="87">
        <v>17790</v>
      </c>
      <c r="E19" s="87">
        <v>15008</v>
      </c>
      <c r="F19" s="87">
        <v>11923</v>
      </c>
      <c r="G19" s="87">
        <v>11673</v>
      </c>
      <c r="H19" s="87">
        <v>12192</v>
      </c>
      <c r="I19" s="87">
        <v>6900</v>
      </c>
      <c r="J19" s="87">
        <v>4042</v>
      </c>
      <c r="K19" s="87">
        <v>6253</v>
      </c>
      <c r="L19" s="87">
        <v>7512</v>
      </c>
      <c r="M19" s="87">
        <v>8522</v>
      </c>
      <c r="N19" s="87"/>
      <c r="O19" s="130"/>
      <c r="P19" s="87"/>
      <c r="Q19" s="130"/>
      <c r="Y19" s="10"/>
      <c r="Z19" s="10"/>
      <c r="AA19" s="10"/>
      <c r="AC19" s="10"/>
      <c r="AE19" s="10"/>
      <c r="AG19" s="10"/>
    </row>
    <row r="20" spans="2:33" outlineLevel="1" x14ac:dyDescent="0.2">
      <c r="C20" s="138" t="s">
        <v>127</v>
      </c>
      <c r="D20" s="136" t="s">
        <v>58</v>
      </c>
      <c r="E20" s="137">
        <f>E19/D19-1</f>
        <v>-0.15637998875772907</v>
      </c>
      <c r="F20" s="137">
        <f t="shared" ref="F20:M20" si="4">F19/E19-1</f>
        <v>-0.20555703624733479</v>
      </c>
      <c r="G20" s="137">
        <f t="shared" si="4"/>
        <v>-2.0967877212111019E-2</v>
      </c>
      <c r="H20" s="137">
        <f t="shared" si="4"/>
        <v>4.4461578000513979E-2</v>
      </c>
      <c r="I20" s="137">
        <f t="shared" si="4"/>
        <v>-0.43405511811023623</v>
      </c>
      <c r="J20" s="137">
        <f t="shared" si="4"/>
        <v>-0.41420289855072467</v>
      </c>
      <c r="K20" s="137">
        <f t="shared" si="4"/>
        <v>0.54700643245917857</v>
      </c>
      <c r="L20" s="137">
        <f t="shared" si="4"/>
        <v>0.20134335518950897</v>
      </c>
      <c r="M20" s="137">
        <f t="shared" si="4"/>
        <v>0.13445154419595307</v>
      </c>
      <c r="N20" s="87"/>
      <c r="O20" s="130"/>
      <c r="P20" s="87"/>
      <c r="Q20" s="130"/>
      <c r="Y20" s="10"/>
      <c r="Z20" s="10"/>
      <c r="AA20" s="10"/>
      <c r="AC20" s="10"/>
      <c r="AE20" s="10"/>
      <c r="AG20" s="10"/>
    </row>
    <row r="21" spans="2:33" outlineLevel="1" x14ac:dyDescent="0.2">
      <c r="C21" s="132"/>
      <c r="D21" s="129"/>
      <c r="E21" s="130"/>
      <c r="F21" s="130"/>
      <c r="G21" s="130"/>
      <c r="H21" s="130"/>
      <c r="I21" s="130"/>
      <c r="J21" s="130"/>
      <c r="K21" s="130"/>
      <c r="L21" s="130"/>
      <c r="M21" s="130"/>
      <c r="N21" s="87"/>
      <c r="O21" s="130"/>
      <c r="P21" s="87"/>
      <c r="Q21" s="130"/>
      <c r="Y21" s="10"/>
      <c r="Z21" s="10"/>
      <c r="AA21" s="10"/>
      <c r="AC21" s="10"/>
      <c r="AE21" s="10"/>
      <c r="AG21" s="10"/>
    </row>
    <row r="22" spans="2:33" outlineLevel="1" x14ac:dyDescent="0.2">
      <c r="C22" s="131" t="s">
        <v>311</v>
      </c>
      <c r="D22" s="87">
        <v>19986</v>
      </c>
      <c r="E22" s="87">
        <v>15946</v>
      </c>
      <c r="F22" s="87">
        <v>12331</v>
      </c>
      <c r="G22" s="87">
        <v>11399</v>
      </c>
      <c r="H22" s="87">
        <v>11343</v>
      </c>
      <c r="I22" s="87">
        <v>7207</v>
      </c>
      <c r="J22" s="87">
        <v>2572</v>
      </c>
      <c r="K22" s="87">
        <v>4837</v>
      </c>
      <c r="L22" s="87">
        <v>1156</v>
      </c>
      <c r="M22" s="87">
        <v>8689</v>
      </c>
      <c r="N22" s="87"/>
      <c r="O22" s="130"/>
      <c r="P22" s="87"/>
      <c r="Q22" s="130"/>
      <c r="Y22" s="10"/>
      <c r="Z22" s="10"/>
      <c r="AA22" s="10"/>
      <c r="AC22" s="10"/>
      <c r="AE22" s="10"/>
      <c r="AG22" s="10"/>
    </row>
    <row r="23" spans="2:33" outlineLevel="1" x14ac:dyDescent="0.2">
      <c r="C23" s="135" t="s">
        <v>127</v>
      </c>
      <c r="D23" s="136" t="s">
        <v>58</v>
      </c>
      <c r="E23" s="137">
        <f>E22/D22-1</f>
        <v>-0.20214149904933454</v>
      </c>
      <c r="F23" s="137">
        <f t="shared" ref="F23:M23" si="5">F22/E22-1</f>
        <v>-0.22670262134704633</v>
      </c>
      <c r="G23" s="137">
        <f t="shared" si="5"/>
        <v>-7.5581866839672385E-2</v>
      </c>
      <c r="H23" s="137">
        <f t="shared" si="5"/>
        <v>-4.9127116413720806E-3</v>
      </c>
      <c r="I23" s="137">
        <f t="shared" si="5"/>
        <v>-0.36463016838578854</v>
      </c>
      <c r="J23" s="137">
        <f t="shared" si="5"/>
        <v>-0.64312473983627028</v>
      </c>
      <c r="K23" s="137">
        <f t="shared" si="5"/>
        <v>0.88063763608087098</v>
      </c>
      <c r="L23" s="137">
        <f t="shared" si="5"/>
        <v>-0.76100888980773207</v>
      </c>
      <c r="M23" s="137">
        <f t="shared" si="5"/>
        <v>6.5164359861591699</v>
      </c>
      <c r="N23" s="87"/>
      <c r="O23" s="130"/>
      <c r="P23" s="87"/>
      <c r="Q23" s="130"/>
      <c r="Y23" s="10"/>
      <c r="Z23" s="10"/>
      <c r="AA23" s="10"/>
      <c r="AC23" s="10"/>
      <c r="AE23" s="10"/>
      <c r="AG23" s="10"/>
    </row>
    <row r="24" spans="2:33" outlineLevel="1" x14ac:dyDescent="0.2">
      <c r="C24" s="131"/>
      <c r="D24" s="129"/>
      <c r="E24" s="130"/>
      <c r="F24" s="130"/>
      <c r="G24" s="130"/>
      <c r="H24" s="130"/>
      <c r="I24" s="130"/>
      <c r="J24" s="130"/>
      <c r="K24" s="130"/>
      <c r="L24" s="130"/>
      <c r="M24" s="130"/>
      <c r="N24" s="87"/>
      <c r="O24" s="130"/>
      <c r="P24" s="87"/>
      <c r="Q24" s="130"/>
      <c r="Y24" s="10"/>
      <c r="Z24" s="10"/>
      <c r="AA24" s="10"/>
      <c r="AC24" s="10"/>
      <c r="AE24" s="10"/>
      <c r="AG24" s="10"/>
    </row>
    <row r="25" spans="2:33" outlineLevel="1" x14ac:dyDescent="0.2">
      <c r="C25" s="131" t="s">
        <v>83</v>
      </c>
      <c r="D25" s="87">
        <v>12023</v>
      </c>
      <c r="E25" s="87">
        <v>13191</v>
      </c>
      <c r="F25" s="87">
        <v>11873</v>
      </c>
      <c r="G25" s="87">
        <v>5752</v>
      </c>
      <c r="H25" s="87">
        <v>8729</v>
      </c>
      <c r="I25" s="87">
        <v>9432</v>
      </c>
      <c r="J25" s="87">
        <v>5590</v>
      </c>
      <c r="K25" s="87">
        <v>5743</v>
      </c>
      <c r="L25" s="87">
        <v>1639</v>
      </c>
      <c r="M25" s="87">
        <v>7501</v>
      </c>
      <c r="N25" s="87"/>
      <c r="O25" s="130"/>
      <c r="P25" s="87"/>
      <c r="Q25" s="130"/>
      <c r="Y25" s="10"/>
      <c r="Z25" s="10"/>
      <c r="AA25" s="10"/>
      <c r="AC25" s="10"/>
      <c r="AE25" s="10"/>
      <c r="AG25" s="10"/>
    </row>
    <row r="26" spans="2:33" outlineLevel="1" x14ac:dyDescent="0.2">
      <c r="C26" s="135" t="s">
        <v>127</v>
      </c>
      <c r="D26" s="136" t="s">
        <v>58</v>
      </c>
      <c r="E26" s="137">
        <f>E25/D25-1</f>
        <v>9.7147134658571055E-2</v>
      </c>
      <c r="F26" s="137">
        <f t="shared" ref="F26:M26" si="6">F25/E25-1</f>
        <v>-9.9916609809718726E-2</v>
      </c>
      <c r="G26" s="137">
        <f t="shared" si="6"/>
        <v>-0.5155394592773519</v>
      </c>
      <c r="H26" s="137">
        <f t="shared" si="6"/>
        <v>0.51755910987482623</v>
      </c>
      <c r="I26" s="137">
        <f t="shared" si="6"/>
        <v>8.053614388818886E-2</v>
      </c>
      <c r="J26" s="137">
        <f t="shared" si="6"/>
        <v>-0.40733672603901616</v>
      </c>
      <c r="K26" s="137">
        <f t="shared" si="6"/>
        <v>2.7370304114490152E-2</v>
      </c>
      <c r="L26" s="137">
        <f t="shared" si="6"/>
        <v>-0.71460908932613609</v>
      </c>
      <c r="M26" s="137">
        <f t="shared" si="6"/>
        <v>3.5765710799267847</v>
      </c>
      <c r="N26" s="87"/>
      <c r="O26" s="130"/>
      <c r="P26" s="87"/>
      <c r="Q26" s="130"/>
      <c r="Y26" s="10"/>
      <c r="Z26" s="10"/>
      <c r="AA26" s="10"/>
      <c r="AC26" s="10"/>
      <c r="AE26" s="10"/>
      <c r="AG26" s="10"/>
    </row>
    <row r="27" spans="2:33" outlineLevel="1" x14ac:dyDescent="0.25">
      <c r="B27" s="5"/>
      <c r="C27" s="125"/>
      <c r="D27" s="87"/>
      <c r="E27" s="126"/>
      <c r="F27" s="87"/>
      <c r="G27" s="126"/>
      <c r="H27" s="87"/>
      <c r="I27" s="126"/>
      <c r="J27" s="87"/>
      <c r="K27" s="126"/>
      <c r="R27" s="5" t="s">
        <v>59</v>
      </c>
    </row>
    <row r="28" spans="2:33" ht="15.75" outlineLevel="1" x14ac:dyDescent="0.25">
      <c r="B28" s="5"/>
      <c r="C28" s="155" t="s">
        <v>139</v>
      </c>
      <c r="D28" s="127"/>
      <c r="E28" s="128"/>
      <c r="F28" s="127"/>
      <c r="G28" s="128"/>
      <c r="H28" s="127"/>
      <c r="I28" s="128"/>
      <c r="J28" s="127"/>
      <c r="K28" s="128"/>
      <c r="L28" s="139"/>
      <c r="M28" s="12"/>
      <c r="R28" s="5"/>
    </row>
    <row r="29" spans="2:33" outlineLevel="2" x14ac:dyDescent="0.25">
      <c r="B29" s="5" t="s">
        <v>182</v>
      </c>
    </row>
    <row r="30" spans="2:33" outlineLevel="2" x14ac:dyDescent="0.2">
      <c r="B30" s="336"/>
      <c r="C30" s="338" t="s">
        <v>60</v>
      </c>
      <c r="D30" s="338"/>
      <c r="E30" s="338"/>
      <c r="F30" s="338"/>
      <c r="G30" s="338"/>
      <c r="H30" s="338"/>
      <c r="I30" s="338"/>
      <c r="J30" s="338"/>
      <c r="K30" s="338"/>
      <c r="L30" s="338"/>
      <c r="M30" s="338"/>
    </row>
    <row r="31" spans="2:33" outlineLevel="2" x14ac:dyDescent="0.2">
      <c r="B31" s="336"/>
    </row>
    <row r="32" spans="2:33" outlineLevel="2" x14ac:dyDescent="0.2">
      <c r="B32" s="336"/>
    </row>
    <row r="33" spans="2:13" outlineLevel="2" x14ac:dyDescent="0.2"/>
    <row r="34" spans="2:13" outlineLevel="2" x14ac:dyDescent="0.2"/>
    <row r="35" spans="2:13" outlineLevel="2" x14ac:dyDescent="0.2"/>
    <row r="36" spans="2:13" outlineLevel="2" x14ac:dyDescent="0.2"/>
    <row r="37" spans="2:13" outlineLevel="2" x14ac:dyDescent="0.2"/>
    <row r="38" spans="2:13" outlineLevel="2" x14ac:dyDescent="0.2"/>
    <row r="39" spans="2:13" outlineLevel="2" x14ac:dyDescent="0.2"/>
    <row r="40" spans="2:13" outlineLevel="2" x14ac:dyDescent="0.2"/>
    <row r="41" spans="2:13" outlineLevel="2" x14ac:dyDescent="0.2"/>
    <row r="42" spans="2:13" outlineLevel="2" x14ac:dyDescent="0.2"/>
    <row r="43" spans="2:13" outlineLevel="2" x14ac:dyDescent="0.2"/>
    <row r="44" spans="2:13" outlineLevel="2" x14ac:dyDescent="0.2"/>
    <row r="45" spans="2:13" outlineLevel="2" x14ac:dyDescent="0.25">
      <c r="B45" s="5" t="s">
        <v>182</v>
      </c>
      <c r="L45" s="10"/>
    </row>
    <row r="46" spans="2:13" outlineLevel="2" x14ac:dyDescent="0.2"/>
    <row r="47" spans="2:13" outlineLevel="2" x14ac:dyDescent="0.2">
      <c r="C47" s="338" t="s">
        <v>79</v>
      </c>
      <c r="D47" s="338"/>
      <c r="E47" s="338"/>
      <c r="F47" s="338"/>
      <c r="G47" s="338"/>
      <c r="H47" s="338"/>
      <c r="I47" s="338"/>
      <c r="J47" s="338"/>
      <c r="K47" s="338"/>
      <c r="L47" s="338"/>
      <c r="M47" s="338"/>
    </row>
    <row r="48" spans="2:13" outlineLevel="2" x14ac:dyDescent="0.2"/>
    <row r="49" spans="2:13" outlineLevel="2" x14ac:dyDescent="0.2"/>
    <row r="50" spans="2:13" outlineLevel="2" x14ac:dyDescent="0.2"/>
    <row r="51" spans="2:13" outlineLevel="2" x14ac:dyDescent="0.2"/>
    <row r="52" spans="2:13" outlineLevel="2" x14ac:dyDescent="0.2"/>
    <row r="53" spans="2:13" outlineLevel="2" x14ac:dyDescent="0.2"/>
    <row r="54" spans="2:13" outlineLevel="2" x14ac:dyDescent="0.2"/>
    <row r="55" spans="2:13" outlineLevel="2" x14ac:dyDescent="0.2"/>
    <row r="56" spans="2:13" outlineLevel="2" x14ac:dyDescent="0.2"/>
    <row r="57" spans="2:13" outlineLevel="2" x14ac:dyDescent="0.2"/>
    <row r="58" spans="2:13" outlineLevel="2" x14ac:dyDescent="0.2"/>
    <row r="59" spans="2:13" outlineLevel="2" x14ac:dyDescent="0.2"/>
    <row r="60" spans="2:13" outlineLevel="2" x14ac:dyDescent="0.2"/>
    <row r="61" spans="2:13" outlineLevel="2" x14ac:dyDescent="0.2"/>
    <row r="62" spans="2:13" outlineLevel="2" x14ac:dyDescent="0.25">
      <c r="B62" s="5" t="s">
        <v>182</v>
      </c>
      <c r="L62" s="10"/>
    </row>
    <row r="63" spans="2:13" outlineLevel="2" x14ac:dyDescent="0.2"/>
    <row r="64" spans="2:13" outlineLevel="2" x14ac:dyDescent="0.2">
      <c r="B64" s="336"/>
      <c r="C64" s="338" t="s">
        <v>62</v>
      </c>
      <c r="D64" s="338"/>
      <c r="E64" s="338"/>
      <c r="F64" s="338"/>
      <c r="G64" s="338"/>
      <c r="H64" s="338"/>
      <c r="I64" s="338"/>
      <c r="J64" s="338"/>
      <c r="K64" s="338"/>
      <c r="L64" s="338"/>
      <c r="M64" s="338"/>
    </row>
    <row r="65" spans="2:12" outlineLevel="2" x14ac:dyDescent="0.2">
      <c r="B65" s="336"/>
    </row>
    <row r="66" spans="2:12" outlineLevel="2" x14ac:dyDescent="0.2">
      <c r="B66" s="336"/>
    </row>
    <row r="67" spans="2:12" outlineLevel="2" x14ac:dyDescent="0.2"/>
    <row r="68" spans="2:12" outlineLevel="2" x14ac:dyDescent="0.2"/>
    <row r="69" spans="2:12" outlineLevel="2" x14ac:dyDescent="0.2"/>
    <row r="70" spans="2:12" outlineLevel="2" x14ac:dyDescent="0.2"/>
    <row r="71" spans="2:12" outlineLevel="2" x14ac:dyDescent="0.2"/>
    <row r="72" spans="2:12" outlineLevel="2" x14ac:dyDescent="0.2"/>
    <row r="73" spans="2:12" outlineLevel="2" x14ac:dyDescent="0.2"/>
    <row r="74" spans="2:12" outlineLevel="2" x14ac:dyDescent="0.2"/>
    <row r="75" spans="2:12" outlineLevel="2" x14ac:dyDescent="0.2"/>
    <row r="76" spans="2:12" outlineLevel="2" x14ac:dyDescent="0.2"/>
    <row r="77" spans="2:12" outlineLevel="2" x14ac:dyDescent="0.2"/>
    <row r="78" spans="2:12" outlineLevel="2" x14ac:dyDescent="0.2"/>
    <row r="79" spans="2:12" outlineLevel="2" x14ac:dyDescent="0.25">
      <c r="B79" s="5" t="s">
        <v>182</v>
      </c>
      <c r="L79" s="10"/>
    </row>
    <row r="80" spans="2:12" outlineLevel="2" x14ac:dyDescent="0.2"/>
    <row r="81" spans="2:13" outlineLevel="2" x14ac:dyDescent="0.2">
      <c r="C81" s="338" t="s">
        <v>80</v>
      </c>
      <c r="D81" s="338"/>
      <c r="E81" s="338"/>
      <c r="F81" s="338"/>
      <c r="G81" s="338"/>
      <c r="H81" s="338"/>
      <c r="I81" s="338"/>
      <c r="J81" s="338"/>
      <c r="K81" s="338"/>
      <c r="L81" s="338"/>
      <c r="M81" s="338"/>
    </row>
    <row r="82" spans="2:13" outlineLevel="2" x14ac:dyDescent="0.2"/>
    <row r="83" spans="2:13" outlineLevel="2" x14ac:dyDescent="0.2"/>
    <row r="84" spans="2:13" outlineLevel="2" x14ac:dyDescent="0.2"/>
    <row r="85" spans="2:13" outlineLevel="2" x14ac:dyDescent="0.2"/>
    <row r="86" spans="2:13" outlineLevel="2" x14ac:dyDescent="0.2"/>
    <row r="87" spans="2:13" outlineLevel="2" x14ac:dyDescent="0.2"/>
    <row r="88" spans="2:13" outlineLevel="2" x14ac:dyDescent="0.2"/>
    <row r="89" spans="2:13" outlineLevel="2" x14ac:dyDescent="0.2"/>
    <row r="90" spans="2:13" outlineLevel="2" x14ac:dyDescent="0.2"/>
    <row r="91" spans="2:13" outlineLevel="2" x14ac:dyDescent="0.2"/>
    <row r="92" spans="2:13" outlineLevel="2" x14ac:dyDescent="0.2"/>
    <row r="93" spans="2:13" outlineLevel="2" x14ac:dyDescent="0.2"/>
    <row r="94" spans="2:13" outlineLevel="2" x14ac:dyDescent="0.2"/>
    <row r="95" spans="2:13" outlineLevel="2" x14ac:dyDescent="0.2"/>
    <row r="96" spans="2:13" outlineLevel="2" x14ac:dyDescent="0.25">
      <c r="B96" s="5" t="s">
        <v>182</v>
      </c>
      <c r="L96" s="10"/>
    </row>
    <row r="97" spans="3:13" outlineLevel="2" x14ac:dyDescent="0.2"/>
    <row r="98" spans="3:13" outlineLevel="2" x14ac:dyDescent="0.2">
      <c r="C98" s="338" t="s">
        <v>81</v>
      </c>
      <c r="D98" s="338"/>
      <c r="E98" s="338"/>
      <c r="F98" s="338"/>
      <c r="G98" s="338"/>
      <c r="H98" s="338"/>
      <c r="I98" s="338"/>
      <c r="J98" s="338"/>
      <c r="K98" s="338"/>
      <c r="L98" s="338"/>
      <c r="M98" s="338"/>
    </row>
    <row r="99" spans="3:13" outlineLevel="2" x14ac:dyDescent="0.2"/>
    <row r="100" spans="3:13" outlineLevel="2" x14ac:dyDescent="0.2"/>
    <row r="101" spans="3:13" outlineLevel="2" x14ac:dyDescent="0.2"/>
    <row r="102" spans="3:13" outlineLevel="2" x14ac:dyDescent="0.2"/>
    <row r="103" spans="3:13" outlineLevel="2" x14ac:dyDescent="0.2"/>
    <row r="104" spans="3:13" outlineLevel="2" x14ac:dyDescent="0.2"/>
    <row r="105" spans="3:13" outlineLevel="2" x14ac:dyDescent="0.2"/>
    <row r="106" spans="3:13" outlineLevel="2" x14ac:dyDescent="0.2"/>
    <row r="107" spans="3:13" outlineLevel="2" x14ac:dyDescent="0.2"/>
    <row r="108" spans="3:13" outlineLevel="2" x14ac:dyDescent="0.2"/>
    <row r="109" spans="3:13" outlineLevel="2" x14ac:dyDescent="0.2"/>
    <row r="110" spans="3:13" outlineLevel="2" x14ac:dyDescent="0.2"/>
    <row r="111" spans="3:13" outlineLevel="2" x14ac:dyDescent="0.2"/>
    <row r="112" spans="3:13" outlineLevel="2" x14ac:dyDescent="0.2"/>
    <row r="113" spans="2:13" outlineLevel="2" x14ac:dyDescent="0.25">
      <c r="B113" s="5" t="s">
        <v>182</v>
      </c>
      <c r="L113" s="10"/>
    </row>
    <row r="114" spans="2:13" outlineLevel="2" x14ac:dyDescent="0.2"/>
    <row r="115" spans="2:13" outlineLevel="2" x14ac:dyDescent="0.2">
      <c r="B115" s="336"/>
      <c r="C115" s="338" t="s">
        <v>82</v>
      </c>
      <c r="D115" s="338"/>
      <c r="E115" s="338"/>
      <c r="F115" s="338"/>
      <c r="G115" s="338"/>
      <c r="H115" s="338"/>
      <c r="I115" s="338"/>
      <c r="J115" s="338"/>
      <c r="K115" s="338"/>
      <c r="L115" s="338"/>
      <c r="M115" s="338"/>
    </row>
    <row r="116" spans="2:13" outlineLevel="2" x14ac:dyDescent="0.2">
      <c r="B116" s="336"/>
    </row>
    <row r="117" spans="2:13" outlineLevel="2" x14ac:dyDescent="0.2">
      <c r="B117" s="336"/>
    </row>
    <row r="118" spans="2:13" outlineLevel="2" x14ac:dyDescent="0.2"/>
    <row r="119" spans="2:13" outlineLevel="2" x14ac:dyDescent="0.2"/>
    <row r="120" spans="2:13" outlineLevel="2" x14ac:dyDescent="0.2"/>
    <row r="121" spans="2:13" outlineLevel="2" x14ac:dyDescent="0.2"/>
    <row r="122" spans="2:13" outlineLevel="2" x14ac:dyDescent="0.2"/>
    <row r="123" spans="2:13" outlineLevel="2" x14ac:dyDescent="0.2"/>
    <row r="124" spans="2:13" outlineLevel="2" x14ac:dyDescent="0.2"/>
    <row r="125" spans="2:13" outlineLevel="2" x14ac:dyDescent="0.2"/>
    <row r="126" spans="2:13" outlineLevel="2" x14ac:dyDescent="0.2"/>
    <row r="127" spans="2:13" outlineLevel="2" x14ac:dyDescent="0.2"/>
    <row r="128" spans="2:13" outlineLevel="2" x14ac:dyDescent="0.2"/>
    <row r="129" spans="2:13" outlineLevel="2" x14ac:dyDescent="0.2"/>
    <row r="130" spans="2:13" outlineLevel="2" x14ac:dyDescent="0.25">
      <c r="B130" s="5" t="s">
        <v>182</v>
      </c>
      <c r="L130" s="10"/>
    </row>
    <row r="131" spans="2:13" outlineLevel="2" x14ac:dyDescent="0.2"/>
    <row r="132" spans="2:13" outlineLevel="2" x14ac:dyDescent="0.2">
      <c r="B132" s="336"/>
      <c r="C132" s="338" t="s">
        <v>61</v>
      </c>
      <c r="D132" s="338"/>
      <c r="E132" s="338"/>
      <c r="F132" s="338"/>
      <c r="G132" s="338"/>
      <c r="H132" s="338"/>
      <c r="I132" s="338"/>
      <c r="J132" s="338"/>
      <c r="K132" s="338"/>
      <c r="L132" s="338"/>
      <c r="M132" s="338"/>
    </row>
    <row r="133" spans="2:13" outlineLevel="2" x14ac:dyDescent="0.2">
      <c r="B133" s="336"/>
      <c r="C133" s="84"/>
      <c r="D133" s="84"/>
      <c r="E133" s="84"/>
      <c r="F133" s="84"/>
      <c r="G133" s="84"/>
      <c r="H133" s="84"/>
      <c r="I133" s="84"/>
      <c r="J133" s="84"/>
      <c r="K133" s="84"/>
    </row>
    <row r="134" spans="2:13" outlineLevel="2" x14ac:dyDescent="0.2">
      <c r="B134" s="336"/>
    </row>
    <row r="135" spans="2:13" outlineLevel="2" x14ac:dyDescent="0.2"/>
    <row r="136" spans="2:13" outlineLevel="2" x14ac:dyDescent="0.2"/>
    <row r="137" spans="2:13" outlineLevel="2" x14ac:dyDescent="0.2"/>
    <row r="138" spans="2:13" outlineLevel="2" x14ac:dyDescent="0.2"/>
    <row r="139" spans="2:13" outlineLevel="2" x14ac:dyDescent="0.2"/>
    <row r="140" spans="2:13" outlineLevel="2" x14ac:dyDescent="0.2"/>
    <row r="141" spans="2:13" outlineLevel="2" x14ac:dyDescent="0.2"/>
    <row r="142" spans="2:13" outlineLevel="2" x14ac:dyDescent="0.2"/>
    <row r="143" spans="2:13" outlineLevel="2" x14ac:dyDescent="0.2"/>
    <row r="144" spans="2:13" outlineLevel="2" x14ac:dyDescent="0.2"/>
    <row r="145" spans="1:23" outlineLevel="2" x14ac:dyDescent="0.2"/>
    <row r="146" spans="1:23" outlineLevel="2" x14ac:dyDescent="0.2"/>
    <row r="147" spans="1:23" outlineLevel="2" x14ac:dyDescent="0.25">
      <c r="B147" s="5" t="s">
        <v>182</v>
      </c>
      <c r="L147" s="10"/>
    </row>
    <row r="148" spans="1:23" outlineLevel="1" x14ac:dyDescent="0.2"/>
    <row r="150" spans="1:23" s="1" customFormat="1" ht="21" x14ac:dyDescent="0.25">
      <c r="A150" s="5" t="s">
        <v>182</v>
      </c>
      <c r="B150" s="5" t="s">
        <v>182</v>
      </c>
      <c r="C150" s="334" t="s">
        <v>148</v>
      </c>
      <c r="D150" s="334"/>
      <c r="E150" s="334"/>
      <c r="F150" s="334"/>
      <c r="G150" s="334"/>
      <c r="H150" s="334"/>
      <c r="I150" s="334"/>
      <c r="J150" s="334"/>
      <c r="K150" s="334"/>
      <c r="L150" s="334"/>
      <c r="M150" s="334"/>
      <c r="N150" s="160"/>
      <c r="O150" s="2"/>
      <c r="P150" s="2"/>
      <c r="Q150" s="2"/>
      <c r="S150" s="2"/>
      <c r="U150" s="2"/>
      <c r="W150" s="2"/>
    </row>
    <row r="151" spans="1:23" outlineLevel="1" x14ac:dyDescent="0.25">
      <c r="A151" s="5"/>
      <c r="B151" s="5"/>
      <c r="C151" s="148"/>
      <c r="D151" s="148"/>
      <c r="E151" s="148"/>
      <c r="F151" s="148"/>
      <c r="G151" s="148"/>
      <c r="H151" s="148"/>
      <c r="I151" s="148"/>
      <c r="J151" s="148"/>
      <c r="K151" s="148"/>
      <c r="L151" s="148"/>
      <c r="M151" s="148"/>
      <c r="N151" s="5"/>
    </row>
    <row r="152" spans="1:23" outlineLevel="1" x14ac:dyDescent="0.25">
      <c r="B152" s="5"/>
      <c r="C152" s="140" t="s">
        <v>84</v>
      </c>
      <c r="D152" s="87">
        <v>-1636</v>
      </c>
      <c r="E152" s="87">
        <v>-1381</v>
      </c>
      <c r="F152" s="87">
        <v>-20</v>
      </c>
      <c r="G152" s="87">
        <v>152</v>
      </c>
      <c r="H152" s="87">
        <v>-731</v>
      </c>
      <c r="I152" s="87">
        <v>-40</v>
      </c>
      <c r="J152" s="87">
        <v>-1499</v>
      </c>
      <c r="K152" s="87">
        <v>986</v>
      </c>
      <c r="L152" s="87">
        <v>177</v>
      </c>
      <c r="M152" s="87">
        <v>2</v>
      </c>
      <c r="N152" s="5"/>
    </row>
    <row r="153" spans="1:23" outlineLevel="1" x14ac:dyDescent="0.25">
      <c r="B153" s="5"/>
      <c r="C153" s="138" t="s">
        <v>127</v>
      </c>
      <c r="D153" s="136" t="s">
        <v>58</v>
      </c>
      <c r="E153" s="137">
        <f t="shared" ref="E153:M153" si="7">(E152-(D152))/ABS(D152)</f>
        <v>0.15586797066014671</v>
      </c>
      <c r="F153" s="137">
        <f t="shared" si="7"/>
        <v>0.98551774076755971</v>
      </c>
      <c r="G153" s="137">
        <f t="shared" si="7"/>
        <v>8.6</v>
      </c>
      <c r="H153" s="137">
        <f t="shared" si="7"/>
        <v>-5.8092105263157894</v>
      </c>
      <c r="I153" s="137">
        <f t="shared" si="7"/>
        <v>0.94528043775649795</v>
      </c>
      <c r="J153" s="137">
        <f t="shared" si="7"/>
        <v>-36.475000000000001</v>
      </c>
      <c r="K153" s="137">
        <f t="shared" si="7"/>
        <v>1.657771847898599</v>
      </c>
      <c r="L153" s="137">
        <f t="shared" si="7"/>
        <v>-0.82048681541582147</v>
      </c>
      <c r="M153" s="137">
        <f t="shared" si="7"/>
        <v>-0.98870056497175141</v>
      </c>
      <c r="N153" s="5"/>
    </row>
    <row r="154" spans="1:23" outlineLevel="1" x14ac:dyDescent="0.25">
      <c r="B154" s="5"/>
      <c r="C154" s="140"/>
      <c r="D154" s="129"/>
      <c r="E154" s="130"/>
      <c r="F154" s="130"/>
      <c r="G154" s="130"/>
      <c r="H154" s="130"/>
      <c r="I154" s="130"/>
      <c r="J154" s="130"/>
      <c r="K154" s="130"/>
      <c r="L154" s="130"/>
      <c r="M154" s="130"/>
      <c r="N154" s="5"/>
    </row>
    <row r="155" spans="1:23" ht="30" outlineLevel="1" x14ac:dyDescent="0.25">
      <c r="B155" s="5"/>
      <c r="C155" s="140" t="s">
        <v>86</v>
      </c>
      <c r="D155" s="87">
        <v>-24</v>
      </c>
      <c r="E155" s="87">
        <v>32</v>
      </c>
      <c r="F155" s="87">
        <v>-4</v>
      </c>
      <c r="G155" s="87">
        <v>2</v>
      </c>
      <c r="H155" s="87">
        <v>-2</v>
      </c>
      <c r="I155" s="87">
        <v>1</v>
      </c>
      <c r="J155" s="87">
        <v>-1</v>
      </c>
      <c r="K155" s="87">
        <v>0</v>
      </c>
      <c r="L155" s="87">
        <v>-1</v>
      </c>
      <c r="M155" s="87">
        <v>0</v>
      </c>
      <c r="N155" s="5"/>
    </row>
    <row r="156" spans="1:23" outlineLevel="1" x14ac:dyDescent="0.25">
      <c r="B156" s="5"/>
      <c r="C156" s="138" t="s">
        <v>127</v>
      </c>
      <c r="D156" s="136" t="s">
        <v>58</v>
      </c>
      <c r="E156" s="137">
        <f t="shared" ref="E156:K156" si="8">(E155-(D155))/ABS(D155)</f>
        <v>2.3333333333333335</v>
      </c>
      <c r="F156" s="137">
        <f t="shared" si="8"/>
        <v>-1.125</v>
      </c>
      <c r="G156" s="137">
        <f t="shared" si="8"/>
        <v>1.5</v>
      </c>
      <c r="H156" s="137">
        <f t="shared" si="8"/>
        <v>-2</v>
      </c>
      <c r="I156" s="137">
        <f t="shared" si="8"/>
        <v>1.5</v>
      </c>
      <c r="J156" s="137">
        <f t="shared" si="8"/>
        <v>-2</v>
      </c>
      <c r="K156" s="137">
        <f t="shared" si="8"/>
        <v>1</v>
      </c>
      <c r="L156" s="137">
        <v>-1</v>
      </c>
      <c r="M156" s="137">
        <f>(M155-(L155))/ABS(L155)</f>
        <v>1</v>
      </c>
      <c r="N156" s="5"/>
    </row>
    <row r="157" spans="1:23" outlineLevel="1" x14ac:dyDescent="0.25">
      <c r="B157" s="5"/>
      <c r="C157" s="140"/>
      <c r="D157" s="129"/>
      <c r="E157" s="141"/>
      <c r="F157" s="141"/>
      <c r="G157" s="141"/>
      <c r="H157" s="141"/>
      <c r="I157" s="141"/>
      <c r="J157" s="141"/>
      <c r="K157" s="141"/>
      <c r="L157" s="141"/>
      <c r="M157" s="141"/>
      <c r="N157" s="5"/>
    </row>
    <row r="158" spans="1:23" ht="30" outlineLevel="1" x14ac:dyDescent="0.25">
      <c r="B158" s="5"/>
      <c r="C158" s="140" t="s">
        <v>87</v>
      </c>
      <c r="D158" s="87">
        <v>861</v>
      </c>
      <c r="E158" s="87">
        <v>-454</v>
      </c>
      <c r="F158" s="87">
        <v>345</v>
      </c>
      <c r="G158" s="87">
        <v>-421</v>
      </c>
      <c r="H158" s="87">
        <v>313</v>
      </c>
      <c r="I158" s="87">
        <v>-614</v>
      </c>
      <c r="J158" s="87">
        <v>-370</v>
      </c>
      <c r="K158" s="87">
        <v>587</v>
      </c>
      <c r="L158" s="87">
        <v>-159</v>
      </c>
      <c r="M158" s="87">
        <v>48</v>
      </c>
      <c r="N158" s="5"/>
    </row>
    <row r="159" spans="1:23" outlineLevel="1" x14ac:dyDescent="0.25">
      <c r="B159" s="5"/>
      <c r="C159" s="138" t="s">
        <v>127</v>
      </c>
      <c r="D159" s="136" t="s">
        <v>58</v>
      </c>
      <c r="E159" s="137">
        <f t="shared" ref="E159:M159" si="9">(E158-(D158))/ABS(D158)</f>
        <v>-1.5272938443670152</v>
      </c>
      <c r="F159" s="137">
        <f t="shared" si="9"/>
        <v>1.7599118942731278</v>
      </c>
      <c r="G159" s="137">
        <f t="shared" si="9"/>
        <v>-2.2202898550724637</v>
      </c>
      <c r="H159" s="137">
        <f t="shared" si="9"/>
        <v>1.7434679334916865</v>
      </c>
      <c r="I159" s="137">
        <f t="shared" si="9"/>
        <v>-2.9616613418530351</v>
      </c>
      <c r="J159" s="137">
        <f t="shared" si="9"/>
        <v>0.3973941368078176</v>
      </c>
      <c r="K159" s="137">
        <f t="shared" si="9"/>
        <v>2.5864864864864865</v>
      </c>
      <c r="L159" s="137">
        <f t="shared" si="9"/>
        <v>-1.2708688245315163</v>
      </c>
      <c r="M159" s="137">
        <f t="shared" si="9"/>
        <v>1.3018867924528301</v>
      </c>
      <c r="N159" s="5"/>
    </row>
    <row r="160" spans="1:23" outlineLevel="1" x14ac:dyDescent="0.25">
      <c r="B160" s="5"/>
      <c r="C160" s="140"/>
      <c r="D160" s="129"/>
      <c r="E160" s="130"/>
      <c r="F160" s="130"/>
      <c r="G160" s="130"/>
      <c r="H160" s="130"/>
      <c r="I160" s="130"/>
      <c r="J160" s="130"/>
      <c r="K160" s="130"/>
      <c r="L160" s="130"/>
      <c r="M160" s="130"/>
      <c r="N160" s="5"/>
    </row>
    <row r="161" spans="2:14" outlineLevel="1" x14ac:dyDescent="0.25">
      <c r="B161" s="5"/>
      <c r="C161" s="140" t="s">
        <v>88</v>
      </c>
      <c r="D161" s="87">
        <v>-7357</v>
      </c>
      <c r="E161" s="87">
        <v>280</v>
      </c>
      <c r="F161" s="87">
        <v>151</v>
      </c>
      <c r="G161" s="87">
        <v>3502</v>
      </c>
      <c r="H161" s="87">
        <v>205</v>
      </c>
      <c r="I161" s="87">
        <v>1682</v>
      </c>
      <c r="J161" s="87">
        <v>664</v>
      </c>
      <c r="K161" s="87">
        <v>4969</v>
      </c>
      <c r="L161" s="87">
        <v>8919</v>
      </c>
      <c r="M161" s="87">
        <v>-2602</v>
      </c>
      <c r="N161" s="5"/>
    </row>
    <row r="162" spans="2:14" outlineLevel="1" x14ac:dyDescent="0.25">
      <c r="B162" s="5"/>
      <c r="C162" s="138" t="s">
        <v>127</v>
      </c>
      <c r="D162" s="136" t="s">
        <v>58</v>
      </c>
      <c r="E162" s="137">
        <f t="shared" ref="E162:M162" si="10">(E161-(D161))/ABS(D161)</f>
        <v>1.0380589914367269</v>
      </c>
      <c r="F162" s="137">
        <f t="shared" si="10"/>
        <v>-0.46071428571428569</v>
      </c>
      <c r="G162" s="137">
        <f t="shared" si="10"/>
        <v>22.192052980132452</v>
      </c>
      <c r="H162" s="137">
        <f t="shared" si="10"/>
        <v>-0.94146202170188464</v>
      </c>
      <c r="I162" s="137">
        <f t="shared" si="10"/>
        <v>7.204878048780488</v>
      </c>
      <c r="J162" s="137">
        <f t="shared" si="10"/>
        <v>-0.60523186682520813</v>
      </c>
      <c r="K162" s="137">
        <f t="shared" si="10"/>
        <v>6.4834337349397586</v>
      </c>
      <c r="L162" s="137">
        <f t="shared" si="10"/>
        <v>0.79492855705373311</v>
      </c>
      <c r="M162" s="137">
        <f t="shared" si="10"/>
        <v>-1.2917367417871959</v>
      </c>
      <c r="N162" s="5"/>
    </row>
    <row r="163" spans="2:14" outlineLevel="1" x14ac:dyDescent="0.25">
      <c r="B163" s="5"/>
      <c r="C163" s="140"/>
      <c r="D163" s="129"/>
      <c r="E163" s="130"/>
      <c r="F163" s="130"/>
      <c r="G163" s="130"/>
      <c r="H163" s="130"/>
      <c r="I163" s="130"/>
      <c r="J163" s="130"/>
      <c r="K163" s="130"/>
      <c r="L163" s="130"/>
      <c r="M163" s="130"/>
      <c r="N163" s="5"/>
    </row>
    <row r="164" spans="2:14" outlineLevel="1" x14ac:dyDescent="0.25">
      <c r="B164" s="5"/>
      <c r="C164" s="140" t="s">
        <v>89</v>
      </c>
      <c r="D164" s="87">
        <v>5750</v>
      </c>
      <c r="E164" s="87">
        <v>11460</v>
      </c>
      <c r="F164" s="87">
        <v>12082</v>
      </c>
      <c r="G164" s="87">
        <v>8558</v>
      </c>
      <c r="H164" s="87">
        <v>8252</v>
      </c>
      <c r="I164" s="87">
        <v>10325</v>
      </c>
      <c r="J164" s="87">
        <v>4850</v>
      </c>
      <c r="K164" s="87">
        <v>10582</v>
      </c>
      <c r="L164" s="87">
        <v>8133</v>
      </c>
      <c r="M164" s="87">
        <v>5480</v>
      </c>
      <c r="N164" s="5"/>
    </row>
    <row r="165" spans="2:14" outlineLevel="1" x14ac:dyDescent="0.25">
      <c r="B165" s="5"/>
      <c r="C165" s="138" t="s">
        <v>127</v>
      </c>
      <c r="D165" s="136" t="s">
        <v>58</v>
      </c>
      <c r="E165" s="137">
        <f t="shared" ref="E165:M165" si="11">(E164-D164)/D164</f>
        <v>0.99304347826086958</v>
      </c>
      <c r="F165" s="137">
        <f t="shared" si="11"/>
        <v>5.4275741710296685E-2</v>
      </c>
      <c r="G165" s="137">
        <f t="shared" si="11"/>
        <v>-0.29167356397947358</v>
      </c>
      <c r="H165" s="137">
        <f t="shared" si="11"/>
        <v>-3.5756017761159151E-2</v>
      </c>
      <c r="I165" s="137">
        <f t="shared" si="11"/>
        <v>0.25121182743577314</v>
      </c>
      <c r="J165" s="137">
        <f t="shared" si="11"/>
        <v>-0.53026634382566584</v>
      </c>
      <c r="K165" s="137">
        <f t="shared" si="11"/>
        <v>1.1818556701030929</v>
      </c>
      <c r="L165" s="137">
        <f t="shared" si="11"/>
        <v>-0.23143073143073142</v>
      </c>
      <c r="M165" s="137">
        <f t="shared" si="11"/>
        <v>-0.32620189352022622</v>
      </c>
      <c r="N165" s="5"/>
    </row>
    <row r="166" spans="2:14" outlineLevel="1" x14ac:dyDescent="0.25">
      <c r="B166" s="5"/>
      <c r="N166" s="5"/>
    </row>
    <row r="167" spans="2:14" ht="15.75" outlineLevel="1" x14ac:dyDescent="0.25">
      <c r="C167" s="155" t="s">
        <v>140</v>
      </c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5"/>
    </row>
    <row r="168" spans="2:14" outlineLevel="2" x14ac:dyDescent="0.2">
      <c r="B168" s="3" t="s">
        <v>182</v>
      </c>
    </row>
    <row r="169" spans="2:14" outlineLevel="2" x14ac:dyDescent="0.2">
      <c r="C169" s="338" t="s">
        <v>90</v>
      </c>
      <c r="D169" s="338"/>
      <c r="E169" s="338"/>
      <c r="F169" s="338"/>
      <c r="G169" s="338"/>
      <c r="H169" s="338"/>
      <c r="I169" s="338"/>
      <c r="J169" s="338"/>
      <c r="K169" s="338"/>
      <c r="L169" s="338"/>
      <c r="M169" s="338"/>
    </row>
    <row r="170" spans="2:14" outlineLevel="2" x14ac:dyDescent="0.2"/>
    <row r="171" spans="2:14" outlineLevel="2" x14ac:dyDescent="0.2"/>
    <row r="172" spans="2:14" outlineLevel="2" x14ac:dyDescent="0.2"/>
    <row r="173" spans="2:14" outlineLevel="2" x14ac:dyDescent="0.2"/>
    <row r="174" spans="2:14" outlineLevel="2" x14ac:dyDescent="0.2"/>
    <row r="175" spans="2:14" outlineLevel="2" x14ac:dyDescent="0.2"/>
    <row r="176" spans="2:14" outlineLevel="2" x14ac:dyDescent="0.2"/>
    <row r="177" spans="2:13" outlineLevel="2" x14ac:dyDescent="0.2"/>
    <row r="178" spans="2:13" outlineLevel="2" x14ac:dyDescent="0.2"/>
    <row r="179" spans="2:13" outlineLevel="2" x14ac:dyDescent="0.2"/>
    <row r="180" spans="2:13" outlineLevel="2" x14ac:dyDescent="0.2"/>
    <row r="181" spans="2:13" outlineLevel="2" x14ac:dyDescent="0.2"/>
    <row r="182" spans="2:13" outlineLevel="2" x14ac:dyDescent="0.2"/>
    <row r="183" spans="2:13" outlineLevel="2" x14ac:dyDescent="0.2"/>
    <row r="184" spans="2:13" outlineLevel="2" x14ac:dyDescent="0.25">
      <c r="B184" s="5" t="s">
        <v>182</v>
      </c>
      <c r="L184" s="10"/>
    </row>
    <row r="185" spans="2:13" outlineLevel="2" x14ac:dyDescent="0.2"/>
    <row r="186" spans="2:13" outlineLevel="2" x14ac:dyDescent="0.2">
      <c r="C186" s="338" t="s">
        <v>91</v>
      </c>
      <c r="D186" s="338"/>
      <c r="E186" s="338"/>
      <c r="F186" s="338"/>
      <c r="G186" s="338"/>
      <c r="H186" s="338"/>
      <c r="I186" s="338"/>
      <c r="J186" s="338"/>
      <c r="K186" s="338"/>
      <c r="L186" s="338"/>
      <c r="M186" s="338"/>
    </row>
    <row r="187" spans="2:13" outlineLevel="2" x14ac:dyDescent="0.2"/>
    <row r="188" spans="2:13" outlineLevel="2" x14ac:dyDescent="0.2"/>
    <row r="189" spans="2:13" outlineLevel="2" x14ac:dyDescent="0.2"/>
    <row r="190" spans="2:13" outlineLevel="2" x14ac:dyDescent="0.2"/>
    <row r="191" spans="2:13" outlineLevel="2" x14ac:dyDescent="0.2"/>
    <row r="192" spans="2:13" outlineLevel="2" x14ac:dyDescent="0.2"/>
    <row r="193" spans="2:13" outlineLevel="2" x14ac:dyDescent="0.2"/>
    <row r="194" spans="2:13" outlineLevel="2" x14ac:dyDescent="0.2"/>
    <row r="195" spans="2:13" outlineLevel="2" x14ac:dyDescent="0.2"/>
    <row r="196" spans="2:13" outlineLevel="2" x14ac:dyDescent="0.2"/>
    <row r="197" spans="2:13" outlineLevel="2" x14ac:dyDescent="0.2"/>
    <row r="198" spans="2:13" outlineLevel="2" x14ac:dyDescent="0.2"/>
    <row r="199" spans="2:13" outlineLevel="2" x14ac:dyDescent="0.2"/>
    <row r="200" spans="2:13" outlineLevel="2" x14ac:dyDescent="0.2"/>
    <row r="201" spans="2:13" outlineLevel="2" x14ac:dyDescent="0.25">
      <c r="B201" s="5" t="s">
        <v>182</v>
      </c>
      <c r="L201" s="10"/>
    </row>
    <row r="202" spans="2:13" outlineLevel="2" x14ac:dyDescent="0.2"/>
    <row r="203" spans="2:13" outlineLevel="2" x14ac:dyDescent="0.2">
      <c r="C203" s="338" t="s">
        <v>92</v>
      </c>
      <c r="D203" s="338"/>
      <c r="E203" s="338"/>
      <c r="F203" s="338"/>
      <c r="G203" s="338"/>
      <c r="H203" s="338"/>
      <c r="I203" s="338"/>
      <c r="J203" s="338"/>
      <c r="K203" s="338"/>
      <c r="L203" s="338"/>
      <c r="M203" s="338"/>
    </row>
    <row r="204" spans="2:13" outlineLevel="2" x14ac:dyDescent="0.2"/>
    <row r="205" spans="2:13" outlineLevel="2" x14ac:dyDescent="0.2"/>
    <row r="206" spans="2:13" outlineLevel="2" x14ac:dyDescent="0.2"/>
    <row r="207" spans="2:13" outlineLevel="2" x14ac:dyDescent="0.2"/>
    <row r="208" spans="2:13" outlineLevel="2" x14ac:dyDescent="0.2"/>
    <row r="209" spans="2:13" outlineLevel="2" x14ac:dyDescent="0.2"/>
    <row r="210" spans="2:13" outlineLevel="2" x14ac:dyDescent="0.2"/>
    <row r="211" spans="2:13" outlineLevel="2" x14ac:dyDescent="0.2"/>
    <row r="212" spans="2:13" outlineLevel="2" x14ac:dyDescent="0.2"/>
    <row r="213" spans="2:13" outlineLevel="2" x14ac:dyDescent="0.2"/>
    <row r="214" spans="2:13" outlineLevel="2" x14ac:dyDescent="0.2"/>
    <row r="215" spans="2:13" outlineLevel="2" x14ac:dyDescent="0.2"/>
    <row r="216" spans="2:13" outlineLevel="2" x14ac:dyDescent="0.2"/>
    <row r="217" spans="2:13" outlineLevel="2" x14ac:dyDescent="0.2"/>
    <row r="218" spans="2:13" outlineLevel="2" x14ac:dyDescent="0.25">
      <c r="B218" s="5" t="s">
        <v>182</v>
      </c>
      <c r="L218" s="10"/>
    </row>
    <row r="219" spans="2:13" outlineLevel="2" x14ac:dyDescent="0.2"/>
    <row r="220" spans="2:13" outlineLevel="2" x14ac:dyDescent="0.2">
      <c r="C220" s="338" t="s">
        <v>93</v>
      </c>
      <c r="D220" s="338"/>
      <c r="E220" s="338"/>
      <c r="F220" s="338"/>
      <c r="G220" s="338"/>
      <c r="H220" s="338"/>
      <c r="I220" s="338"/>
      <c r="J220" s="338"/>
      <c r="K220" s="338"/>
      <c r="L220" s="338"/>
      <c r="M220" s="338"/>
    </row>
    <row r="221" spans="2:13" outlineLevel="2" x14ac:dyDescent="0.2"/>
    <row r="222" spans="2:13" outlineLevel="2" x14ac:dyDescent="0.2"/>
    <row r="223" spans="2:13" outlineLevel="2" x14ac:dyDescent="0.2"/>
    <row r="224" spans="2:13" outlineLevel="2" x14ac:dyDescent="0.2"/>
    <row r="225" spans="2:13" outlineLevel="2" x14ac:dyDescent="0.2"/>
    <row r="226" spans="2:13" outlineLevel="2" x14ac:dyDescent="0.2"/>
    <row r="227" spans="2:13" outlineLevel="2" x14ac:dyDescent="0.2"/>
    <row r="228" spans="2:13" outlineLevel="2" x14ac:dyDescent="0.2"/>
    <row r="229" spans="2:13" outlineLevel="2" x14ac:dyDescent="0.2"/>
    <row r="230" spans="2:13" outlineLevel="2" x14ac:dyDescent="0.2"/>
    <row r="231" spans="2:13" outlineLevel="2" x14ac:dyDescent="0.2"/>
    <row r="232" spans="2:13" outlineLevel="2" x14ac:dyDescent="0.2"/>
    <row r="233" spans="2:13" outlineLevel="2" x14ac:dyDescent="0.2"/>
    <row r="234" spans="2:13" outlineLevel="2" x14ac:dyDescent="0.2"/>
    <row r="235" spans="2:13" outlineLevel="2" x14ac:dyDescent="0.25">
      <c r="B235" s="5" t="s">
        <v>182</v>
      </c>
      <c r="L235" s="10"/>
    </row>
    <row r="236" spans="2:13" outlineLevel="2" x14ac:dyDescent="0.2"/>
    <row r="237" spans="2:13" outlineLevel="2" x14ac:dyDescent="0.2">
      <c r="C237" s="338" t="s">
        <v>94</v>
      </c>
      <c r="D237" s="338"/>
      <c r="E237" s="338"/>
      <c r="F237" s="338"/>
      <c r="G237" s="338"/>
      <c r="H237" s="338"/>
      <c r="I237" s="338"/>
      <c r="J237" s="338"/>
      <c r="K237" s="338"/>
      <c r="L237" s="338"/>
      <c r="M237" s="338"/>
    </row>
    <row r="238" spans="2:13" outlineLevel="2" x14ac:dyDescent="0.2"/>
    <row r="239" spans="2:13" outlineLevel="2" x14ac:dyDescent="0.2"/>
    <row r="240" spans="2:13" outlineLevel="2" x14ac:dyDescent="0.2"/>
    <row r="241" spans="1:24" outlineLevel="2" x14ac:dyDescent="0.2"/>
    <row r="242" spans="1:24" outlineLevel="2" x14ac:dyDescent="0.2"/>
    <row r="243" spans="1:24" outlineLevel="2" x14ac:dyDescent="0.2"/>
    <row r="244" spans="1:24" outlineLevel="2" x14ac:dyDescent="0.2"/>
    <row r="245" spans="1:24" outlineLevel="2" x14ac:dyDescent="0.2"/>
    <row r="246" spans="1:24" outlineLevel="2" x14ac:dyDescent="0.2"/>
    <row r="247" spans="1:24" outlineLevel="2" x14ac:dyDescent="0.2"/>
    <row r="248" spans="1:24" outlineLevel="2" x14ac:dyDescent="0.2"/>
    <row r="249" spans="1:24" outlineLevel="2" x14ac:dyDescent="0.2"/>
    <row r="250" spans="1:24" outlineLevel="2" x14ac:dyDescent="0.2"/>
    <row r="251" spans="1:24" outlineLevel="2" x14ac:dyDescent="0.2"/>
    <row r="252" spans="1:24" outlineLevel="2" x14ac:dyDescent="0.25">
      <c r="B252" s="5" t="s">
        <v>182</v>
      </c>
      <c r="L252" s="10"/>
    </row>
    <row r="253" spans="1:24" outlineLevel="1" x14ac:dyDescent="0.2"/>
    <row r="255" spans="1:24" s="1" customFormat="1" ht="21" x14ac:dyDescent="0.25">
      <c r="A255" s="5" t="s">
        <v>182</v>
      </c>
      <c r="B255" s="5" t="s">
        <v>182</v>
      </c>
      <c r="C255" s="334" t="s">
        <v>147</v>
      </c>
      <c r="D255" s="334"/>
      <c r="E255" s="334"/>
      <c r="F255" s="334"/>
      <c r="G255" s="334"/>
      <c r="H255" s="334"/>
      <c r="I255" s="334"/>
      <c r="J255" s="334"/>
      <c r="K255" s="334"/>
      <c r="L255" s="334"/>
      <c r="M255" s="334"/>
      <c r="O255" s="2"/>
      <c r="P255" s="2"/>
      <c r="Q255" s="2"/>
      <c r="S255" s="2"/>
      <c r="U255" s="2"/>
      <c r="W255" s="2"/>
      <c r="X255" s="160"/>
    </row>
    <row r="256" spans="1:24" outlineLevel="1" x14ac:dyDescent="0.25">
      <c r="A256" s="5"/>
      <c r="B256" s="5"/>
      <c r="C256" s="148"/>
      <c r="D256" s="148"/>
      <c r="E256" s="148"/>
      <c r="F256" s="148"/>
      <c r="G256" s="148"/>
      <c r="H256" s="148"/>
      <c r="I256" s="148"/>
      <c r="J256" s="148"/>
      <c r="K256" s="148"/>
      <c r="L256" s="148"/>
      <c r="M256" s="148"/>
      <c r="X256" s="5"/>
    </row>
    <row r="257" spans="2:24" outlineLevel="1" x14ac:dyDescent="0.25">
      <c r="B257" s="5"/>
      <c r="C257" s="140" t="s">
        <v>141</v>
      </c>
      <c r="D257" s="87">
        <v>47377</v>
      </c>
      <c r="E257" s="87">
        <v>42504</v>
      </c>
      <c r="F257" s="87">
        <v>43889</v>
      </c>
      <c r="G257" s="87">
        <v>49735</v>
      </c>
      <c r="H257" s="87">
        <v>49145</v>
      </c>
      <c r="I257" s="87">
        <v>38420</v>
      </c>
      <c r="J257" s="87">
        <v>39165</v>
      </c>
      <c r="K257" s="87">
        <v>29539</v>
      </c>
      <c r="L257" s="87">
        <v>29118</v>
      </c>
      <c r="M257" s="87">
        <v>32909</v>
      </c>
      <c r="X257" s="5"/>
    </row>
    <row r="258" spans="2:24" outlineLevel="1" x14ac:dyDescent="0.25">
      <c r="B258" s="5"/>
      <c r="C258" s="138" t="s">
        <v>127</v>
      </c>
      <c r="D258" s="136" t="s">
        <v>58</v>
      </c>
      <c r="E258" s="137">
        <f t="shared" ref="E258:M258" si="12">(E257-D257)/D257</f>
        <v>-0.10285581611330392</v>
      </c>
      <c r="F258" s="137">
        <f t="shared" si="12"/>
        <v>3.2585168454733672E-2</v>
      </c>
      <c r="G258" s="137">
        <f t="shared" si="12"/>
        <v>0.13319966278566384</v>
      </c>
      <c r="H258" s="137">
        <f t="shared" si="12"/>
        <v>-1.1862873228108977E-2</v>
      </c>
      <c r="I258" s="137">
        <f t="shared" si="12"/>
        <v>-0.21823176314986265</v>
      </c>
      <c r="J258" s="137">
        <f t="shared" si="12"/>
        <v>1.9390942217595002E-2</v>
      </c>
      <c r="K258" s="137">
        <f t="shared" si="12"/>
        <v>-0.24578067151793692</v>
      </c>
      <c r="L258" s="137">
        <f t="shared" si="12"/>
        <v>-1.4252344358305968E-2</v>
      </c>
      <c r="M258" s="137">
        <f t="shared" si="12"/>
        <v>0.13019438148224466</v>
      </c>
      <c r="X258" s="5"/>
    </row>
    <row r="259" spans="2:24" outlineLevel="1" x14ac:dyDescent="0.25">
      <c r="B259" s="5"/>
      <c r="C259" s="140"/>
      <c r="D259" s="129"/>
      <c r="E259" s="130"/>
      <c r="F259" s="130"/>
      <c r="G259" s="130"/>
      <c r="H259" s="130"/>
      <c r="I259" s="130"/>
      <c r="J259" s="130"/>
      <c r="K259" s="130"/>
      <c r="L259" s="130"/>
      <c r="M259" s="130"/>
      <c r="X259" s="5"/>
    </row>
    <row r="260" spans="2:24" outlineLevel="1" x14ac:dyDescent="0.25">
      <c r="B260" s="5"/>
      <c r="C260" s="140" t="s">
        <v>63</v>
      </c>
      <c r="D260" s="87">
        <v>69895</v>
      </c>
      <c r="E260" s="87">
        <v>67991</v>
      </c>
      <c r="F260" s="87">
        <v>73581</v>
      </c>
      <c r="G260" s="87">
        <v>75620</v>
      </c>
      <c r="H260" s="87">
        <v>74236</v>
      </c>
      <c r="I260" s="87">
        <v>113767</v>
      </c>
      <c r="J260" s="87">
        <v>116806</v>
      </c>
      <c r="K260" s="87">
        <v>102462</v>
      </c>
      <c r="L260" s="87">
        <v>98125</v>
      </c>
      <c r="M260" s="87">
        <v>102331</v>
      </c>
      <c r="X260" s="5"/>
    </row>
    <row r="261" spans="2:24" outlineLevel="1" x14ac:dyDescent="0.25">
      <c r="B261" s="5"/>
      <c r="C261" s="138" t="s">
        <v>127</v>
      </c>
      <c r="D261" s="136" t="s">
        <v>58</v>
      </c>
      <c r="E261" s="137">
        <f t="shared" ref="E261:M261" si="13">(E260-D260)/D260</f>
        <v>-2.7240861291937906E-2</v>
      </c>
      <c r="F261" s="137">
        <f t="shared" si="13"/>
        <v>8.2216763983468402E-2</v>
      </c>
      <c r="G261" s="137">
        <f t="shared" si="13"/>
        <v>2.7710957991872901E-2</v>
      </c>
      <c r="H261" s="137">
        <f t="shared" si="13"/>
        <v>-1.8302036498280879E-2</v>
      </c>
      <c r="I261" s="137">
        <f t="shared" si="13"/>
        <v>0.5325044452826122</v>
      </c>
      <c r="J261" s="137">
        <f t="shared" si="13"/>
        <v>2.6712491319978552E-2</v>
      </c>
      <c r="K261" s="137">
        <f t="shared" si="13"/>
        <v>-0.12280191086074345</v>
      </c>
      <c r="L261" s="137">
        <f t="shared" si="13"/>
        <v>-4.2327887411918563E-2</v>
      </c>
      <c r="M261" s="137">
        <f t="shared" si="13"/>
        <v>4.2863694267515927E-2</v>
      </c>
      <c r="X261" s="5"/>
    </row>
    <row r="262" spans="2:24" outlineLevel="1" x14ac:dyDescent="0.25">
      <c r="B262" s="5"/>
      <c r="C262" s="140"/>
      <c r="D262" s="129"/>
      <c r="E262" s="130"/>
      <c r="F262" s="130"/>
      <c r="G262" s="130"/>
      <c r="H262" s="130"/>
      <c r="I262" s="130"/>
      <c r="J262" s="130"/>
      <c r="K262" s="130"/>
      <c r="L262" s="130"/>
      <c r="M262" s="130"/>
      <c r="X262" s="5"/>
    </row>
    <row r="263" spans="2:24" outlineLevel="1" x14ac:dyDescent="0.25">
      <c r="B263" s="5"/>
      <c r="C263" s="140" t="s">
        <v>142</v>
      </c>
      <c r="D263" s="87">
        <v>117272</v>
      </c>
      <c r="E263" s="87">
        <v>110495</v>
      </c>
      <c r="F263" s="87">
        <v>117470</v>
      </c>
      <c r="G263" s="87">
        <v>125355</v>
      </c>
      <c r="H263" s="87">
        <v>123381</v>
      </c>
      <c r="I263" s="87">
        <v>152187</v>
      </c>
      <c r="J263" s="87">
        <v>155971</v>
      </c>
      <c r="K263" s="87">
        <v>132001</v>
      </c>
      <c r="L263" s="87">
        <v>127243</v>
      </c>
      <c r="M263" s="87">
        <v>135240</v>
      </c>
      <c r="X263" s="5"/>
    </row>
    <row r="264" spans="2:24" outlineLevel="1" x14ac:dyDescent="0.25">
      <c r="B264" s="5"/>
      <c r="C264" s="138" t="s">
        <v>127</v>
      </c>
      <c r="D264" s="136" t="s">
        <v>58</v>
      </c>
      <c r="E264" s="137">
        <f t="shared" ref="E264:M264" si="14">(E263-D263)/D263</f>
        <v>-5.7788730472747116E-2</v>
      </c>
      <c r="F264" s="137">
        <f t="shared" si="14"/>
        <v>6.3125028281822704E-2</v>
      </c>
      <c r="G264" s="137">
        <f t="shared" si="14"/>
        <v>6.7123520898952918E-2</v>
      </c>
      <c r="H264" s="137">
        <f t="shared" si="14"/>
        <v>-1.5747277731243268E-2</v>
      </c>
      <c r="I264" s="137">
        <f t="shared" si="14"/>
        <v>0.2334719284168551</v>
      </c>
      <c r="J264" s="137">
        <f t="shared" si="14"/>
        <v>2.4864147397609521E-2</v>
      </c>
      <c r="K264" s="137">
        <f t="shared" si="14"/>
        <v>-0.15368241532079682</v>
      </c>
      <c r="L264" s="137">
        <f t="shared" si="14"/>
        <v>-3.6045181475897907E-2</v>
      </c>
      <c r="M264" s="137">
        <f t="shared" si="14"/>
        <v>6.2848250984337051E-2</v>
      </c>
      <c r="X264" s="5"/>
    </row>
    <row r="265" spans="2:24" outlineLevel="1" x14ac:dyDescent="0.25">
      <c r="B265" s="5"/>
      <c r="C265" s="140"/>
      <c r="D265" s="129"/>
      <c r="E265" s="130"/>
      <c r="F265" s="130"/>
      <c r="G265" s="130"/>
      <c r="H265" s="130"/>
      <c r="I265" s="130"/>
      <c r="J265" s="130"/>
      <c r="K265" s="130"/>
      <c r="L265" s="130"/>
      <c r="M265" s="130"/>
      <c r="X265" s="5"/>
    </row>
    <row r="266" spans="2:24" outlineLevel="1" x14ac:dyDescent="0.25">
      <c r="B266" s="5"/>
      <c r="C266" s="140" t="s">
        <v>143</v>
      </c>
      <c r="D266" s="87">
        <v>39581</v>
      </c>
      <c r="E266" s="87">
        <v>34270</v>
      </c>
      <c r="F266" s="87">
        <v>36275</v>
      </c>
      <c r="G266" s="87">
        <v>37363</v>
      </c>
      <c r="H266" s="87">
        <v>38227</v>
      </c>
      <c r="I266" s="87">
        <v>37702</v>
      </c>
      <c r="J266" s="87">
        <v>39869</v>
      </c>
      <c r="K266" s="87">
        <v>33619</v>
      </c>
      <c r="L266" s="87">
        <v>31505</v>
      </c>
      <c r="M266" s="87">
        <v>34121</v>
      </c>
      <c r="X266" s="5"/>
    </row>
    <row r="267" spans="2:24" outlineLevel="1" x14ac:dyDescent="0.25">
      <c r="B267" s="5"/>
      <c r="C267" s="138" t="s">
        <v>127</v>
      </c>
      <c r="D267" s="136" t="s">
        <v>58</v>
      </c>
      <c r="E267" s="137">
        <f t="shared" ref="E267:M267" si="15">(E266-D266)/D266</f>
        <v>-0.13418054116874259</v>
      </c>
      <c r="F267" s="137">
        <f t="shared" si="15"/>
        <v>5.8505981908374673E-2</v>
      </c>
      <c r="G267" s="137">
        <f t="shared" si="15"/>
        <v>2.9993108201240525E-2</v>
      </c>
      <c r="H267" s="137">
        <f t="shared" si="15"/>
        <v>2.3124481438856623E-2</v>
      </c>
      <c r="I267" s="137">
        <f t="shared" si="15"/>
        <v>-1.3733748397729353E-2</v>
      </c>
      <c r="J267" s="137">
        <f t="shared" si="15"/>
        <v>5.7477056920057293E-2</v>
      </c>
      <c r="K267" s="137">
        <f t="shared" si="15"/>
        <v>-0.15676340013544357</v>
      </c>
      <c r="L267" s="137">
        <f t="shared" si="15"/>
        <v>-6.2881108896754814E-2</v>
      </c>
      <c r="M267" s="137">
        <f t="shared" si="15"/>
        <v>8.3034438977940009E-2</v>
      </c>
      <c r="X267" s="5"/>
    </row>
    <row r="268" spans="2:24" outlineLevel="1" x14ac:dyDescent="0.25">
      <c r="B268" s="5"/>
      <c r="C268" s="140"/>
      <c r="D268" s="129"/>
      <c r="E268" s="130"/>
      <c r="F268" s="130"/>
      <c r="G268" s="130"/>
      <c r="H268" s="130"/>
      <c r="I268" s="130"/>
      <c r="J268" s="130"/>
      <c r="K268" s="130"/>
      <c r="L268" s="130"/>
      <c r="M268" s="130"/>
      <c r="X268" s="5"/>
    </row>
    <row r="269" spans="2:24" outlineLevel="1" x14ac:dyDescent="0.25">
      <c r="B269" s="5"/>
      <c r="C269" s="140" t="s">
        <v>65</v>
      </c>
      <c r="D269" s="87">
        <v>65676</v>
      </c>
      <c r="E269" s="87">
        <v>61802</v>
      </c>
      <c r="F269" s="87">
        <v>62803</v>
      </c>
      <c r="G269" s="87">
        <v>70268</v>
      </c>
      <c r="H269" s="87">
        <v>68225</v>
      </c>
      <c r="I269" s="87">
        <v>93500</v>
      </c>
      <c r="J269" s="87">
        <v>95376</v>
      </c>
      <c r="K269" s="87">
        <v>79386</v>
      </c>
      <c r="L269" s="87">
        <v>73717</v>
      </c>
      <c r="M269" s="87">
        <v>78505</v>
      </c>
      <c r="X269" s="5"/>
    </row>
    <row r="270" spans="2:24" outlineLevel="1" x14ac:dyDescent="0.25">
      <c r="B270" s="5"/>
      <c r="C270" s="138" t="s">
        <v>127</v>
      </c>
      <c r="D270" s="136" t="s">
        <v>58</v>
      </c>
      <c r="E270" s="137">
        <f t="shared" ref="E270:M270" si="16">(E269-D269)/D269</f>
        <v>-5.8986539984164685E-2</v>
      </c>
      <c r="F270" s="137">
        <f t="shared" si="16"/>
        <v>1.6196886832141353E-2</v>
      </c>
      <c r="G270" s="137">
        <f t="shared" si="16"/>
        <v>0.11886374854704393</v>
      </c>
      <c r="H270" s="137">
        <f t="shared" si="16"/>
        <v>-2.9074400865258723E-2</v>
      </c>
      <c r="I270" s="137">
        <f t="shared" si="16"/>
        <v>0.37046537193111029</v>
      </c>
      <c r="J270" s="137">
        <f t="shared" si="16"/>
        <v>2.0064171122994651E-2</v>
      </c>
      <c r="K270" s="137">
        <f t="shared" si="16"/>
        <v>-0.1676522395571213</v>
      </c>
      <c r="L270" s="137">
        <f t="shared" si="16"/>
        <v>-7.1410576172121029E-2</v>
      </c>
      <c r="M270" s="137">
        <f t="shared" si="16"/>
        <v>6.4951096761940941E-2</v>
      </c>
      <c r="X270" s="5"/>
    </row>
    <row r="271" spans="2:24" outlineLevel="1" x14ac:dyDescent="0.25">
      <c r="B271" s="5"/>
      <c r="C271" s="142"/>
      <c r="D271" s="129"/>
      <c r="E271" s="130"/>
      <c r="F271" s="130"/>
      <c r="G271" s="130"/>
      <c r="H271" s="130"/>
      <c r="I271" s="130"/>
      <c r="J271" s="130"/>
      <c r="K271" s="130"/>
      <c r="L271" s="130"/>
      <c r="M271" s="130"/>
      <c r="X271" s="5"/>
    </row>
    <row r="272" spans="2:24" outlineLevel="1" x14ac:dyDescent="0.25">
      <c r="B272" s="5"/>
      <c r="C272" s="140" t="s">
        <v>129</v>
      </c>
      <c r="D272" s="87">
        <v>105257</v>
      </c>
      <c r="E272" s="87">
        <v>96072</v>
      </c>
      <c r="F272" s="87">
        <v>99078</v>
      </c>
      <c r="G272" s="87">
        <v>107631</v>
      </c>
      <c r="H272" s="87">
        <v>106452</v>
      </c>
      <c r="I272" s="87">
        <v>131202</v>
      </c>
      <c r="J272" s="87">
        <v>135245</v>
      </c>
      <c r="K272" s="87">
        <v>113005</v>
      </c>
      <c r="L272" s="87">
        <v>105222</v>
      </c>
      <c r="M272" s="87">
        <v>112626</v>
      </c>
      <c r="X272" s="5"/>
    </row>
    <row r="273" spans="2:24" outlineLevel="1" x14ac:dyDescent="0.25">
      <c r="B273" s="5"/>
      <c r="C273" s="138" t="s">
        <v>127</v>
      </c>
      <c r="D273" s="136" t="s">
        <v>58</v>
      </c>
      <c r="E273" s="137">
        <f t="shared" ref="E273:M273" si="17">(E272-D272)/D272</f>
        <v>-8.7262604862384449E-2</v>
      </c>
      <c r="F273" s="137">
        <f t="shared" si="17"/>
        <v>3.1289033225081191E-2</v>
      </c>
      <c r="G273" s="137">
        <f t="shared" si="17"/>
        <v>8.632592502876521E-2</v>
      </c>
      <c r="H273" s="137">
        <f t="shared" si="17"/>
        <v>-1.0954093151601304E-2</v>
      </c>
      <c r="I273" s="137">
        <f t="shared" si="17"/>
        <v>0.2324991545485289</v>
      </c>
      <c r="J273" s="137">
        <f t="shared" si="17"/>
        <v>3.0815079038429293E-2</v>
      </c>
      <c r="K273" s="137">
        <f t="shared" si="17"/>
        <v>-0.16444230840326815</v>
      </c>
      <c r="L273" s="137">
        <f t="shared" si="17"/>
        <v>-6.8873058714216187E-2</v>
      </c>
      <c r="M273" s="137">
        <f t="shared" si="17"/>
        <v>7.0365512915549974E-2</v>
      </c>
      <c r="X273" s="5"/>
    </row>
    <row r="274" spans="2:24" outlineLevel="1" x14ac:dyDescent="0.25">
      <c r="B274" s="5"/>
      <c r="C274" s="140"/>
      <c r="D274" s="129"/>
      <c r="E274" s="130"/>
      <c r="F274" s="130"/>
      <c r="G274" s="130"/>
      <c r="H274" s="130"/>
      <c r="I274" s="130"/>
      <c r="J274" s="130"/>
      <c r="K274" s="130"/>
      <c r="L274" s="130"/>
      <c r="M274" s="130"/>
      <c r="X274" s="5"/>
    </row>
    <row r="275" spans="2:24" outlineLevel="1" x14ac:dyDescent="0.25">
      <c r="B275" s="5"/>
      <c r="C275" s="142" t="s">
        <v>64</v>
      </c>
      <c r="D275" s="7">
        <f t="shared" ref="D275:M275" si="18">D257-D266</f>
        <v>7796</v>
      </c>
      <c r="E275" s="7">
        <f t="shared" si="18"/>
        <v>8234</v>
      </c>
      <c r="F275" s="7">
        <f t="shared" si="18"/>
        <v>7614</v>
      </c>
      <c r="G275" s="7">
        <f t="shared" si="18"/>
        <v>12372</v>
      </c>
      <c r="H275" s="7">
        <f t="shared" si="18"/>
        <v>10918</v>
      </c>
      <c r="I275" s="7">
        <f t="shared" si="18"/>
        <v>718</v>
      </c>
      <c r="J275" s="7">
        <f t="shared" si="18"/>
        <v>-704</v>
      </c>
      <c r="K275" s="7">
        <f t="shared" si="18"/>
        <v>-4080</v>
      </c>
      <c r="L275" s="7">
        <f t="shared" si="18"/>
        <v>-2387</v>
      </c>
      <c r="M275" s="7">
        <f t="shared" si="18"/>
        <v>-1212</v>
      </c>
      <c r="X275" s="5"/>
    </row>
    <row r="276" spans="2:24" outlineLevel="1" x14ac:dyDescent="0.25">
      <c r="B276" s="5"/>
      <c r="C276" s="138" t="s">
        <v>127</v>
      </c>
      <c r="D276" s="136" t="s">
        <v>58</v>
      </c>
      <c r="E276" s="137">
        <f t="shared" ref="E276:M276" si="19">(E275-(D275))/ABS(D275)</f>
        <v>5.6182657773217036E-2</v>
      </c>
      <c r="F276" s="137">
        <f t="shared" si="19"/>
        <v>-7.529754675734758E-2</v>
      </c>
      <c r="G276" s="137">
        <f t="shared" si="19"/>
        <v>0.62490149724192279</v>
      </c>
      <c r="H276" s="137">
        <f t="shared" si="19"/>
        <v>-0.11752344002586486</v>
      </c>
      <c r="I276" s="137">
        <f t="shared" si="19"/>
        <v>-0.93423703975087014</v>
      </c>
      <c r="J276" s="137">
        <f t="shared" si="19"/>
        <v>-1.9805013927576602</v>
      </c>
      <c r="K276" s="137">
        <f t="shared" si="19"/>
        <v>-4.7954545454545459</v>
      </c>
      <c r="L276" s="137">
        <f t="shared" si="19"/>
        <v>0.41495098039215689</v>
      </c>
      <c r="M276" s="137">
        <f t="shared" si="19"/>
        <v>0.49224968579807288</v>
      </c>
      <c r="X276" s="5"/>
    </row>
    <row r="277" spans="2:24" outlineLevel="1" x14ac:dyDescent="0.25">
      <c r="B277" s="5"/>
      <c r="C277" s="140"/>
      <c r="D277" s="129"/>
      <c r="E277" s="130"/>
      <c r="F277" s="130"/>
      <c r="G277" s="130"/>
      <c r="H277" s="130"/>
      <c r="I277" s="130"/>
      <c r="J277" s="130"/>
      <c r="K277" s="130"/>
      <c r="L277" s="130"/>
      <c r="M277" s="130"/>
      <c r="X277" s="5"/>
    </row>
    <row r="278" spans="2:24" outlineLevel="1" x14ac:dyDescent="0.25">
      <c r="B278" s="5"/>
      <c r="C278" s="140" t="s">
        <v>128</v>
      </c>
      <c r="D278" s="87">
        <v>34991</v>
      </c>
      <c r="E278" s="87">
        <v>33428</v>
      </c>
      <c r="F278" s="87">
        <v>34655</v>
      </c>
      <c r="G278" s="87">
        <v>39837</v>
      </c>
      <c r="H278" s="87">
        <v>35605</v>
      </c>
      <c r="I278" s="87">
        <v>54102</v>
      </c>
      <c r="J278" s="87">
        <v>54217</v>
      </c>
      <c r="K278" s="87">
        <v>44917</v>
      </c>
      <c r="L278" s="87">
        <v>46189</v>
      </c>
      <c r="M278" s="87">
        <v>50121</v>
      </c>
      <c r="X278" s="5"/>
    </row>
    <row r="279" spans="2:24" outlineLevel="1" x14ac:dyDescent="0.25">
      <c r="B279" s="5"/>
      <c r="C279" s="138" t="s">
        <v>127</v>
      </c>
      <c r="D279" s="136" t="s">
        <v>58</v>
      </c>
      <c r="E279" s="137">
        <f t="shared" ref="E279:M279" si="20">(E278-D278)/D278</f>
        <v>-4.4668629076048127E-2</v>
      </c>
      <c r="F279" s="137">
        <f t="shared" si="20"/>
        <v>3.6705755653942802E-2</v>
      </c>
      <c r="G279" s="137">
        <f t="shared" si="20"/>
        <v>0.14953109219448854</v>
      </c>
      <c r="H279" s="137">
        <f t="shared" si="20"/>
        <v>-0.10623289906368451</v>
      </c>
      <c r="I279" s="137">
        <f t="shared" si="20"/>
        <v>0.5195056874034546</v>
      </c>
      <c r="J279" s="137">
        <f t="shared" si="20"/>
        <v>2.1256145798676574E-3</v>
      </c>
      <c r="K279" s="137">
        <f t="shared" si="20"/>
        <v>-0.1715329140306546</v>
      </c>
      <c r="L279" s="137">
        <f t="shared" si="20"/>
        <v>2.8318899303159159E-2</v>
      </c>
      <c r="M279" s="137">
        <f t="shared" si="20"/>
        <v>8.5128493797224453E-2</v>
      </c>
      <c r="X279" s="5"/>
    </row>
    <row r="280" spans="2:24" outlineLevel="1" x14ac:dyDescent="0.25">
      <c r="B280" s="5"/>
      <c r="C280" s="140"/>
      <c r="D280" s="129"/>
      <c r="E280" s="130"/>
      <c r="F280" s="130"/>
      <c r="G280" s="130"/>
      <c r="H280" s="130"/>
      <c r="I280" s="130"/>
      <c r="J280" s="130"/>
      <c r="K280" s="130"/>
      <c r="L280" s="130"/>
      <c r="M280" s="130"/>
      <c r="X280" s="5"/>
    </row>
    <row r="281" spans="2:24" outlineLevel="1" x14ac:dyDescent="0.25">
      <c r="B281" s="5"/>
      <c r="C281" s="140" t="s">
        <v>130</v>
      </c>
      <c r="D281" s="87">
        <v>12015</v>
      </c>
      <c r="E281" s="87">
        <v>14423</v>
      </c>
      <c r="F281" s="87">
        <v>18392</v>
      </c>
      <c r="G281" s="87">
        <v>17724</v>
      </c>
      <c r="H281" s="87">
        <v>16929</v>
      </c>
      <c r="I281" s="87">
        <v>20985</v>
      </c>
      <c r="J281" s="87">
        <v>20726</v>
      </c>
      <c r="K281" s="87">
        <v>18996</v>
      </c>
      <c r="L281" s="87">
        <v>22021</v>
      </c>
      <c r="M281" s="87">
        <v>22614</v>
      </c>
      <c r="X281" s="5"/>
    </row>
    <row r="282" spans="2:24" outlineLevel="1" x14ac:dyDescent="0.25">
      <c r="B282" s="5"/>
      <c r="C282" s="138" t="s">
        <v>127</v>
      </c>
      <c r="D282" s="136" t="s">
        <v>58</v>
      </c>
      <c r="E282" s="137">
        <f t="shared" ref="E282:M282" si="21">(E281-D281)/D281</f>
        <v>0.20041614648356221</v>
      </c>
      <c r="F282" s="137">
        <f t="shared" si="21"/>
        <v>0.27518546765582752</v>
      </c>
      <c r="G282" s="137">
        <f t="shared" si="21"/>
        <v>-3.6320139190952588E-2</v>
      </c>
      <c r="H282" s="137">
        <f t="shared" si="21"/>
        <v>-4.4854434664861206E-2</v>
      </c>
      <c r="I282" s="137">
        <f t="shared" si="21"/>
        <v>0.23958887116781855</v>
      </c>
      <c r="J282" s="137">
        <f t="shared" si="21"/>
        <v>-1.2342149154157732E-2</v>
      </c>
      <c r="K282" s="137">
        <f t="shared" si="21"/>
        <v>-8.3470037633889799E-2</v>
      </c>
      <c r="L282" s="137">
        <f t="shared" si="21"/>
        <v>0.15924405137923772</v>
      </c>
      <c r="M282" s="137">
        <f t="shared" si="21"/>
        <v>2.692884065210481E-2</v>
      </c>
      <c r="X282" s="5"/>
    </row>
    <row r="283" spans="2:24" outlineLevel="1" x14ac:dyDescent="0.25">
      <c r="B283" s="5"/>
      <c r="C283" s="140"/>
      <c r="D283" s="129"/>
      <c r="E283" s="130"/>
      <c r="F283" s="130"/>
      <c r="G283" s="130"/>
      <c r="H283" s="130"/>
      <c r="I283" s="130"/>
      <c r="J283" s="130"/>
      <c r="K283" s="130"/>
      <c r="L283" s="130"/>
      <c r="M283" s="130"/>
      <c r="X283" s="5"/>
    </row>
    <row r="284" spans="2:24" outlineLevel="1" x14ac:dyDescent="0.25">
      <c r="B284" s="5"/>
      <c r="C284" s="140" t="s">
        <v>144</v>
      </c>
      <c r="D284" s="87">
        <v>117272</v>
      </c>
      <c r="E284" s="87">
        <v>110495</v>
      </c>
      <c r="F284" s="87">
        <v>117470</v>
      </c>
      <c r="G284" s="87">
        <v>125355</v>
      </c>
      <c r="H284" s="87">
        <v>123381</v>
      </c>
      <c r="I284" s="87">
        <v>152187</v>
      </c>
      <c r="J284" s="87">
        <v>155971</v>
      </c>
      <c r="K284" s="87">
        <v>132001</v>
      </c>
      <c r="L284" s="87">
        <v>127243</v>
      </c>
      <c r="M284" s="87">
        <v>135240</v>
      </c>
      <c r="X284" s="5"/>
    </row>
    <row r="285" spans="2:24" outlineLevel="1" x14ac:dyDescent="0.25">
      <c r="B285" s="5"/>
      <c r="C285" s="138" t="s">
        <v>127</v>
      </c>
      <c r="D285" s="136" t="s">
        <v>58</v>
      </c>
      <c r="E285" s="137">
        <f t="shared" ref="E285:M285" si="22">(E284-D284)/D284</f>
        <v>-5.7788730472747116E-2</v>
      </c>
      <c r="F285" s="137">
        <f t="shared" si="22"/>
        <v>6.3125028281822704E-2</v>
      </c>
      <c r="G285" s="137">
        <f t="shared" si="22"/>
        <v>6.7123520898952918E-2</v>
      </c>
      <c r="H285" s="137">
        <f t="shared" si="22"/>
        <v>-1.5747277731243268E-2</v>
      </c>
      <c r="I285" s="137">
        <f t="shared" si="22"/>
        <v>0.2334719284168551</v>
      </c>
      <c r="J285" s="137">
        <f t="shared" si="22"/>
        <v>2.4864147397609521E-2</v>
      </c>
      <c r="K285" s="137">
        <f t="shared" si="22"/>
        <v>-0.15368241532079682</v>
      </c>
      <c r="L285" s="137">
        <f t="shared" si="22"/>
        <v>-3.6045181475897907E-2</v>
      </c>
      <c r="M285" s="137">
        <f t="shared" si="22"/>
        <v>6.2848250984337051E-2</v>
      </c>
      <c r="X285" s="5"/>
    </row>
    <row r="286" spans="2:24" outlineLevel="1" x14ac:dyDescent="0.25">
      <c r="B286" s="5"/>
      <c r="X286" s="5"/>
    </row>
    <row r="287" spans="2:24" ht="15.75" outlineLevel="1" x14ac:dyDescent="0.25">
      <c r="C287" s="155" t="s">
        <v>145</v>
      </c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X287" s="5"/>
    </row>
    <row r="288" spans="2:24" outlineLevel="2" x14ac:dyDescent="0.2">
      <c r="B288" s="3" t="s">
        <v>182</v>
      </c>
    </row>
    <row r="289" spans="2:13" outlineLevel="2" x14ac:dyDescent="0.2">
      <c r="C289" s="338" t="s">
        <v>66</v>
      </c>
      <c r="D289" s="338"/>
      <c r="E289" s="338"/>
      <c r="F289" s="338"/>
      <c r="G289" s="338"/>
      <c r="H289" s="338"/>
      <c r="I289" s="338"/>
      <c r="J289" s="338"/>
      <c r="K289" s="338"/>
      <c r="L289" s="338"/>
      <c r="M289" s="338"/>
    </row>
    <row r="290" spans="2:13" outlineLevel="2" x14ac:dyDescent="0.2"/>
    <row r="291" spans="2:13" outlineLevel="2" x14ac:dyDescent="0.2"/>
    <row r="292" spans="2:13" outlineLevel="2" x14ac:dyDescent="0.2"/>
    <row r="293" spans="2:13" outlineLevel="2" x14ac:dyDescent="0.2"/>
    <row r="294" spans="2:13" outlineLevel="2" x14ac:dyDescent="0.2"/>
    <row r="295" spans="2:13" outlineLevel="2" x14ac:dyDescent="0.2"/>
    <row r="296" spans="2:13" outlineLevel="2" x14ac:dyDescent="0.2"/>
    <row r="297" spans="2:13" outlineLevel="2" x14ac:dyDescent="0.2"/>
    <row r="298" spans="2:13" outlineLevel="2" x14ac:dyDescent="0.2"/>
    <row r="299" spans="2:13" outlineLevel="2" x14ac:dyDescent="0.2"/>
    <row r="300" spans="2:13" outlineLevel="2" x14ac:dyDescent="0.2"/>
    <row r="301" spans="2:13" outlineLevel="2" x14ac:dyDescent="0.2"/>
    <row r="302" spans="2:13" outlineLevel="2" x14ac:dyDescent="0.2"/>
    <row r="303" spans="2:13" outlineLevel="2" x14ac:dyDescent="0.2"/>
    <row r="304" spans="2:13" outlineLevel="2" x14ac:dyDescent="0.25">
      <c r="B304" s="5" t="s">
        <v>182</v>
      </c>
      <c r="L304" s="10"/>
    </row>
    <row r="305" spans="3:13" outlineLevel="2" x14ac:dyDescent="0.2"/>
    <row r="306" spans="3:13" outlineLevel="2" x14ac:dyDescent="0.2">
      <c r="C306" s="338" t="s">
        <v>67</v>
      </c>
      <c r="D306" s="338"/>
      <c r="E306" s="338"/>
      <c r="F306" s="338"/>
      <c r="G306" s="338"/>
      <c r="H306" s="338"/>
      <c r="I306" s="338"/>
      <c r="J306" s="338"/>
      <c r="K306" s="338"/>
      <c r="L306" s="338"/>
      <c r="M306" s="338"/>
    </row>
    <row r="307" spans="3:13" outlineLevel="2" x14ac:dyDescent="0.2"/>
    <row r="308" spans="3:13" outlineLevel="2" x14ac:dyDescent="0.2"/>
    <row r="309" spans="3:13" outlineLevel="2" x14ac:dyDescent="0.2"/>
    <row r="310" spans="3:13" outlineLevel="2" x14ac:dyDescent="0.2"/>
    <row r="311" spans="3:13" outlineLevel="2" x14ac:dyDescent="0.2"/>
    <row r="312" spans="3:13" outlineLevel="2" x14ac:dyDescent="0.2"/>
    <row r="313" spans="3:13" outlineLevel="2" x14ac:dyDescent="0.2"/>
    <row r="314" spans="3:13" outlineLevel="2" x14ac:dyDescent="0.2"/>
    <row r="315" spans="3:13" outlineLevel="2" x14ac:dyDescent="0.2"/>
    <row r="316" spans="3:13" outlineLevel="2" x14ac:dyDescent="0.2"/>
    <row r="317" spans="3:13" outlineLevel="2" x14ac:dyDescent="0.2"/>
    <row r="318" spans="3:13" outlineLevel="2" x14ac:dyDescent="0.2"/>
    <row r="319" spans="3:13" outlineLevel="2" x14ac:dyDescent="0.2"/>
    <row r="320" spans="3:13" outlineLevel="2" x14ac:dyDescent="0.2"/>
    <row r="321" spans="2:13" outlineLevel="2" x14ac:dyDescent="0.25">
      <c r="B321" s="5" t="s">
        <v>182</v>
      </c>
      <c r="L321" s="10"/>
    </row>
    <row r="322" spans="2:13" outlineLevel="2" x14ac:dyDescent="0.2"/>
    <row r="323" spans="2:13" outlineLevel="2" x14ac:dyDescent="0.2">
      <c r="C323" s="338" t="s">
        <v>68</v>
      </c>
      <c r="D323" s="338"/>
      <c r="E323" s="338"/>
      <c r="F323" s="338"/>
      <c r="G323" s="338"/>
      <c r="H323" s="338"/>
      <c r="I323" s="338"/>
      <c r="J323" s="338"/>
      <c r="K323" s="338"/>
      <c r="L323" s="338"/>
      <c r="M323" s="338"/>
    </row>
    <row r="324" spans="2:13" outlineLevel="2" x14ac:dyDescent="0.2"/>
    <row r="325" spans="2:13" outlineLevel="2" x14ac:dyDescent="0.2"/>
    <row r="326" spans="2:13" outlineLevel="2" x14ac:dyDescent="0.2"/>
    <row r="327" spans="2:13" outlineLevel="2" x14ac:dyDescent="0.2"/>
    <row r="328" spans="2:13" outlineLevel="2" x14ac:dyDescent="0.2"/>
    <row r="329" spans="2:13" outlineLevel="2" x14ac:dyDescent="0.2"/>
    <row r="330" spans="2:13" outlineLevel="2" x14ac:dyDescent="0.2"/>
    <row r="331" spans="2:13" outlineLevel="2" x14ac:dyDescent="0.2"/>
    <row r="332" spans="2:13" outlineLevel="2" x14ac:dyDescent="0.2"/>
    <row r="333" spans="2:13" outlineLevel="2" x14ac:dyDescent="0.2"/>
    <row r="334" spans="2:13" outlineLevel="2" x14ac:dyDescent="0.2"/>
    <row r="335" spans="2:13" outlineLevel="2" x14ac:dyDescent="0.2"/>
    <row r="336" spans="2:13" outlineLevel="2" x14ac:dyDescent="0.2"/>
    <row r="337" spans="2:13" outlineLevel="2" x14ac:dyDescent="0.2"/>
    <row r="338" spans="2:13" outlineLevel="2" x14ac:dyDescent="0.25">
      <c r="B338" s="5" t="s">
        <v>182</v>
      </c>
      <c r="L338" s="10"/>
    </row>
    <row r="339" spans="2:13" outlineLevel="2" x14ac:dyDescent="0.2"/>
    <row r="340" spans="2:13" outlineLevel="2" x14ac:dyDescent="0.2">
      <c r="C340" s="338" t="s">
        <v>69</v>
      </c>
      <c r="D340" s="338"/>
      <c r="E340" s="338"/>
      <c r="F340" s="338"/>
      <c r="G340" s="338"/>
      <c r="H340" s="338"/>
      <c r="I340" s="338"/>
      <c r="J340" s="338"/>
      <c r="K340" s="338"/>
      <c r="L340" s="338"/>
      <c r="M340" s="338"/>
    </row>
    <row r="341" spans="2:13" outlineLevel="2" x14ac:dyDescent="0.2"/>
    <row r="342" spans="2:13" outlineLevel="2" x14ac:dyDescent="0.2"/>
    <row r="343" spans="2:13" outlineLevel="2" x14ac:dyDescent="0.2"/>
    <row r="344" spans="2:13" outlineLevel="2" x14ac:dyDescent="0.2"/>
    <row r="345" spans="2:13" outlineLevel="2" x14ac:dyDescent="0.2"/>
    <row r="346" spans="2:13" outlineLevel="2" x14ac:dyDescent="0.2"/>
    <row r="347" spans="2:13" outlineLevel="2" x14ac:dyDescent="0.2"/>
    <row r="348" spans="2:13" outlineLevel="2" x14ac:dyDescent="0.2"/>
    <row r="349" spans="2:13" outlineLevel="2" x14ac:dyDescent="0.2"/>
    <row r="350" spans="2:13" outlineLevel="2" x14ac:dyDescent="0.2"/>
    <row r="351" spans="2:13" outlineLevel="2" x14ac:dyDescent="0.2"/>
    <row r="352" spans="2:13" outlineLevel="2" x14ac:dyDescent="0.2"/>
    <row r="353" spans="2:13" outlineLevel="2" x14ac:dyDescent="0.2"/>
    <row r="354" spans="2:13" outlineLevel="2" x14ac:dyDescent="0.2"/>
    <row r="355" spans="2:13" outlineLevel="2" x14ac:dyDescent="0.25">
      <c r="B355" s="5" t="s">
        <v>182</v>
      </c>
      <c r="L355" s="10"/>
    </row>
    <row r="356" spans="2:13" outlineLevel="2" x14ac:dyDescent="0.2"/>
    <row r="357" spans="2:13" outlineLevel="2" x14ac:dyDescent="0.2">
      <c r="C357" s="338" t="s">
        <v>70</v>
      </c>
      <c r="D357" s="338"/>
      <c r="E357" s="338"/>
      <c r="F357" s="338"/>
      <c r="G357" s="338"/>
      <c r="H357" s="338"/>
      <c r="I357" s="338"/>
      <c r="J357" s="338"/>
      <c r="K357" s="338"/>
      <c r="L357" s="338"/>
      <c r="M357" s="338"/>
    </row>
    <row r="358" spans="2:13" outlineLevel="2" x14ac:dyDescent="0.2"/>
    <row r="359" spans="2:13" outlineLevel="2" x14ac:dyDescent="0.2"/>
    <row r="360" spans="2:13" outlineLevel="2" x14ac:dyDescent="0.2"/>
    <row r="361" spans="2:13" outlineLevel="2" x14ac:dyDescent="0.2"/>
    <row r="362" spans="2:13" outlineLevel="2" x14ac:dyDescent="0.2"/>
    <row r="363" spans="2:13" outlineLevel="2" x14ac:dyDescent="0.2"/>
    <row r="364" spans="2:13" outlineLevel="2" x14ac:dyDescent="0.2"/>
    <row r="365" spans="2:13" outlineLevel="2" x14ac:dyDescent="0.2"/>
    <row r="366" spans="2:13" outlineLevel="2" x14ac:dyDescent="0.2"/>
    <row r="367" spans="2:13" outlineLevel="2" x14ac:dyDescent="0.2"/>
    <row r="368" spans="2:13" outlineLevel="2" x14ac:dyDescent="0.2"/>
    <row r="369" spans="2:13" outlineLevel="2" x14ac:dyDescent="0.2"/>
    <row r="370" spans="2:13" outlineLevel="2" x14ac:dyDescent="0.2"/>
    <row r="371" spans="2:13" outlineLevel="2" x14ac:dyDescent="0.2"/>
    <row r="372" spans="2:13" outlineLevel="2" x14ac:dyDescent="0.25">
      <c r="B372" s="5" t="s">
        <v>182</v>
      </c>
      <c r="L372" s="10"/>
    </row>
    <row r="373" spans="2:13" outlineLevel="2" x14ac:dyDescent="0.2"/>
    <row r="374" spans="2:13" outlineLevel="2" x14ac:dyDescent="0.2">
      <c r="C374" s="338" t="s">
        <v>71</v>
      </c>
      <c r="D374" s="338"/>
      <c r="E374" s="338"/>
      <c r="F374" s="338"/>
      <c r="G374" s="338"/>
      <c r="H374" s="338"/>
      <c r="I374" s="338"/>
      <c r="J374" s="338"/>
      <c r="K374" s="338"/>
      <c r="L374" s="338"/>
      <c r="M374" s="338"/>
    </row>
    <row r="375" spans="2:13" outlineLevel="2" x14ac:dyDescent="0.2"/>
    <row r="376" spans="2:13" outlineLevel="2" x14ac:dyDescent="0.2"/>
    <row r="377" spans="2:13" outlineLevel="2" x14ac:dyDescent="0.2"/>
    <row r="378" spans="2:13" outlineLevel="2" x14ac:dyDescent="0.2"/>
    <row r="379" spans="2:13" outlineLevel="2" x14ac:dyDescent="0.2"/>
    <row r="380" spans="2:13" outlineLevel="2" x14ac:dyDescent="0.2"/>
    <row r="381" spans="2:13" outlineLevel="2" x14ac:dyDescent="0.2"/>
    <row r="382" spans="2:13" outlineLevel="2" x14ac:dyDescent="0.2"/>
    <row r="383" spans="2:13" outlineLevel="2" x14ac:dyDescent="0.2"/>
    <row r="384" spans="2:13" outlineLevel="2" x14ac:dyDescent="0.2"/>
    <row r="385" spans="2:13" outlineLevel="2" x14ac:dyDescent="0.2"/>
    <row r="386" spans="2:13" outlineLevel="2" x14ac:dyDescent="0.2"/>
    <row r="387" spans="2:13" outlineLevel="2" x14ac:dyDescent="0.2"/>
    <row r="388" spans="2:13" outlineLevel="2" x14ac:dyDescent="0.2"/>
    <row r="389" spans="2:13" outlineLevel="2" x14ac:dyDescent="0.25">
      <c r="B389" s="5" t="s">
        <v>182</v>
      </c>
      <c r="L389" s="10"/>
    </row>
    <row r="390" spans="2:13" outlineLevel="2" x14ac:dyDescent="0.2"/>
    <row r="391" spans="2:13" outlineLevel="2" x14ac:dyDescent="0.2">
      <c r="C391" s="338" t="s">
        <v>72</v>
      </c>
      <c r="D391" s="338"/>
      <c r="E391" s="338"/>
      <c r="F391" s="338"/>
      <c r="G391" s="338"/>
      <c r="H391" s="338"/>
      <c r="I391" s="338"/>
      <c r="J391" s="338"/>
      <c r="K391" s="338"/>
      <c r="L391" s="338"/>
      <c r="M391" s="338"/>
    </row>
    <row r="392" spans="2:13" outlineLevel="2" x14ac:dyDescent="0.2"/>
    <row r="393" spans="2:13" outlineLevel="2" x14ac:dyDescent="0.2"/>
    <row r="394" spans="2:13" outlineLevel="2" x14ac:dyDescent="0.2"/>
    <row r="395" spans="2:13" outlineLevel="2" x14ac:dyDescent="0.2"/>
    <row r="396" spans="2:13" outlineLevel="2" x14ac:dyDescent="0.2"/>
    <row r="397" spans="2:13" outlineLevel="2" x14ac:dyDescent="0.2"/>
    <row r="398" spans="2:13" outlineLevel="2" x14ac:dyDescent="0.2"/>
    <row r="399" spans="2:13" outlineLevel="2" x14ac:dyDescent="0.2"/>
    <row r="400" spans="2:13" outlineLevel="2" x14ac:dyDescent="0.2"/>
    <row r="401" spans="2:13" outlineLevel="2" x14ac:dyDescent="0.2"/>
    <row r="402" spans="2:13" outlineLevel="2" x14ac:dyDescent="0.2"/>
    <row r="403" spans="2:13" outlineLevel="2" x14ac:dyDescent="0.2"/>
    <row r="404" spans="2:13" outlineLevel="2" x14ac:dyDescent="0.2"/>
    <row r="405" spans="2:13" outlineLevel="2" x14ac:dyDescent="0.2"/>
    <row r="406" spans="2:13" outlineLevel="2" x14ac:dyDescent="0.25">
      <c r="B406" s="5" t="s">
        <v>182</v>
      </c>
      <c r="L406" s="10"/>
    </row>
    <row r="407" spans="2:13" outlineLevel="2" x14ac:dyDescent="0.2"/>
    <row r="408" spans="2:13" outlineLevel="2" x14ac:dyDescent="0.2">
      <c r="C408" s="338" t="s">
        <v>73</v>
      </c>
      <c r="D408" s="338"/>
      <c r="E408" s="338"/>
      <c r="F408" s="338"/>
      <c r="G408" s="338"/>
      <c r="H408" s="338"/>
      <c r="I408" s="338"/>
      <c r="J408" s="338"/>
      <c r="K408" s="338"/>
      <c r="L408" s="338"/>
      <c r="M408" s="338"/>
    </row>
    <row r="409" spans="2:13" outlineLevel="2" x14ac:dyDescent="0.2"/>
    <row r="410" spans="2:13" outlineLevel="2" x14ac:dyDescent="0.2"/>
    <row r="411" spans="2:13" outlineLevel="2" x14ac:dyDescent="0.2"/>
    <row r="412" spans="2:13" outlineLevel="2" x14ac:dyDescent="0.2"/>
    <row r="413" spans="2:13" outlineLevel="2" x14ac:dyDescent="0.2"/>
    <row r="414" spans="2:13" outlineLevel="2" x14ac:dyDescent="0.2"/>
    <row r="415" spans="2:13" outlineLevel="2" x14ac:dyDescent="0.2"/>
    <row r="416" spans="2:13" outlineLevel="2" x14ac:dyDescent="0.2"/>
    <row r="417" spans="2:13" outlineLevel="2" x14ac:dyDescent="0.2"/>
    <row r="418" spans="2:13" outlineLevel="2" x14ac:dyDescent="0.2"/>
    <row r="419" spans="2:13" outlineLevel="2" x14ac:dyDescent="0.2"/>
    <row r="420" spans="2:13" outlineLevel="2" x14ac:dyDescent="0.2"/>
    <row r="421" spans="2:13" outlineLevel="2" x14ac:dyDescent="0.2"/>
    <row r="422" spans="2:13" outlineLevel="2" x14ac:dyDescent="0.2"/>
    <row r="423" spans="2:13" outlineLevel="2" x14ac:dyDescent="0.25">
      <c r="B423" s="5" t="s">
        <v>182</v>
      </c>
      <c r="L423" s="10"/>
    </row>
    <row r="424" spans="2:13" outlineLevel="2" x14ac:dyDescent="0.2"/>
    <row r="425" spans="2:13" outlineLevel="2" x14ac:dyDescent="0.2">
      <c r="C425" s="338" t="s">
        <v>74</v>
      </c>
      <c r="D425" s="338"/>
      <c r="E425" s="338"/>
      <c r="F425" s="338"/>
      <c r="G425" s="338"/>
      <c r="H425" s="338"/>
      <c r="I425" s="338"/>
      <c r="J425" s="338"/>
      <c r="K425" s="338"/>
      <c r="L425" s="338"/>
      <c r="M425" s="338"/>
    </row>
    <row r="426" spans="2:13" outlineLevel="2" x14ac:dyDescent="0.2"/>
    <row r="427" spans="2:13" outlineLevel="2" x14ac:dyDescent="0.2"/>
    <row r="428" spans="2:13" outlineLevel="2" x14ac:dyDescent="0.2"/>
    <row r="429" spans="2:13" outlineLevel="2" x14ac:dyDescent="0.2"/>
    <row r="430" spans="2:13" outlineLevel="2" x14ac:dyDescent="0.2"/>
    <row r="431" spans="2:13" outlineLevel="2" x14ac:dyDescent="0.2"/>
    <row r="432" spans="2:13" outlineLevel="2" x14ac:dyDescent="0.2"/>
    <row r="433" spans="2:13" outlineLevel="2" x14ac:dyDescent="0.2"/>
    <row r="434" spans="2:13" outlineLevel="2" x14ac:dyDescent="0.2"/>
    <row r="435" spans="2:13" outlineLevel="2" x14ac:dyDescent="0.2"/>
    <row r="436" spans="2:13" outlineLevel="2" x14ac:dyDescent="0.2"/>
    <row r="437" spans="2:13" outlineLevel="2" x14ac:dyDescent="0.2"/>
    <row r="438" spans="2:13" outlineLevel="2" x14ac:dyDescent="0.2"/>
    <row r="439" spans="2:13" outlineLevel="2" x14ac:dyDescent="0.2"/>
    <row r="440" spans="2:13" outlineLevel="2" x14ac:dyDescent="0.25">
      <c r="B440" s="5" t="s">
        <v>182</v>
      </c>
      <c r="L440" s="10"/>
    </row>
    <row r="441" spans="2:13" outlineLevel="2" x14ac:dyDescent="0.2"/>
    <row r="442" spans="2:13" outlineLevel="2" x14ac:dyDescent="0.2">
      <c r="C442" s="338" t="s">
        <v>75</v>
      </c>
      <c r="D442" s="338"/>
      <c r="E442" s="338"/>
      <c r="F442" s="338"/>
      <c r="G442" s="338"/>
      <c r="H442" s="338"/>
      <c r="I442" s="338"/>
      <c r="J442" s="338"/>
      <c r="K442" s="338"/>
      <c r="L442" s="338"/>
      <c r="M442" s="338"/>
    </row>
    <row r="443" spans="2:13" outlineLevel="2" x14ac:dyDescent="0.2"/>
    <row r="444" spans="2:13" outlineLevel="2" x14ac:dyDescent="0.2"/>
    <row r="445" spans="2:13" outlineLevel="2" x14ac:dyDescent="0.2"/>
    <row r="446" spans="2:13" outlineLevel="2" x14ac:dyDescent="0.2"/>
    <row r="447" spans="2:13" outlineLevel="2" x14ac:dyDescent="0.2"/>
    <row r="448" spans="2:13" outlineLevel="2" x14ac:dyDescent="0.2"/>
    <row r="449" spans="1:23" outlineLevel="2" x14ac:dyDescent="0.2"/>
    <row r="450" spans="1:23" outlineLevel="2" x14ac:dyDescent="0.2"/>
    <row r="451" spans="1:23" outlineLevel="2" x14ac:dyDescent="0.2"/>
    <row r="452" spans="1:23" outlineLevel="2" x14ac:dyDescent="0.2"/>
    <row r="453" spans="1:23" outlineLevel="2" x14ac:dyDescent="0.2"/>
    <row r="454" spans="1:23" outlineLevel="2" x14ac:dyDescent="0.2"/>
    <row r="455" spans="1:23" outlineLevel="2" x14ac:dyDescent="0.2"/>
    <row r="456" spans="1:23" outlineLevel="2" x14ac:dyDescent="0.2"/>
    <row r="457" spans="1:23" outlineLevel="2" x14ac:dyDescent="0.25">
      <c r="B457" s="5" t="s">
        <v>182</v>
      </c>
      <c r="L457" s="10"/>
    </row>
    <row r="458" spans="1:23" outlineLevel="1" x14ac:dyDescent="0.2"/>
    <row r="460" spans="1:23" s="1" customFormat="1" ht="21" x14ac:dyDescent="0.25">
      <c r="A460" s="5" t="s">
        <v>182</v>
      </c>
      <c r="B460" s="5" t="s">
        <v>182</v>
      </c>
      <c r="C460" s="334" t="s">
        <v>151</v>
      </c>
      <c r="D460" s="334"/>
      <c r="E460" s="334"/>
      <c r="F460" s="334"/>
      <c r="G460" s="334"/>
      <c r="H460" s="334"/>
      <c r="I460" s="334"/>
      <c r="J460" s="334"/>
      <c r="K460" s="334"/>
      <c r="L460" s="334"/>
      <c r="M460" s="334"/>
      <c r="O460" s="2"/>
      <c r="P460" s="2"/>
      <c r="Q460" s="2"/>
      <c r="R460" s="160"/>
      <c r="S460" s="2"/>
      <c r="U460" s="2"/>
      <c r="W460" s="2"/>
    </row>
    <row r="461" spans="1:23" outlineLevel="1" x14ac:dyDescent="0.25">
      <c r="A461" s="5"/>
      <c r="B461" s="5"/>
      <c r="C461" s="148"/>
      <c r="D461" s="148"/>
      <c r="E461" s="148"/>
      <c r="F461" s="148"/>
      <c r="G461" s="148"/>
      <c r="H461" s="148"/>
      <c r="I461" s="148"/>
      <c r="J461" s="148"/>
      <c r="K461" s="148"/>
      <c r="L461" s="148"/>
      <c r="M461" s="148"/>
      <c r="R461" s="5"/>
    </row>
    <row r="462" spans="1:23" outlineLevel="1" x14ac:dyDescent="0.25">
      <c r="B462" s="5"/>
      <c r="C462" s="140" t="s">
        <v>11</v>
      </c>
      <c r="D462" s="87">
        <v>16870</v>
      </c>
      <c r="E462" s="87">
        <v>17257</v>
      </c>
      <c r="F462" s="87">
        <v>17085</v>
      </c>
      <c r="G462" s="87">
        <v>16723</v>
      </c>
      <c r="H462" s="87">
        <v>15249</v>
      </c>
      <c r="I462" s="87">
        <v>14772</v>
      </c>
      <c r="J462" s="87">
        <v>18198</v>
      </c>
      <c r="K462" s="87">
        <v>12796</v>
      </c>
      <c r="L462" s="87">
        <v>10435</v>
      </c>
      <c r="M462" s="87">
        <v>13930</v>
      </c>
      <c r="R462" s="5"/>
    </row>
    <row r="463" spans="1:23" outlineLevel="1" x14ac:dyDescent="0.25">
      <c r="B463" s="5"/>
      <c r="C463" s="138" t="s">
        <v>127</v>
      </c>
      <c r="D463" s="136" t="s">
        <v>58</v>
      </c>
      <c r="E463" s="137">
        <f t="shared" ref="E463:M463" si="23">(E462-D462)/D462</f>
        <v>2.2940130409010075E-2</v>
      </c>
      <c r="F463" s="137">
        <f t="shared" si="23"/>
        <v>-9.9669699252477248E-3</v>
      </c>
      <c r="G463" s="137">
        <f t="shared" si="23"/>
        <v>-2.1188176763242611E-2</v>
      </c>
      <c r="H463" s="137">
        <f t="shared" si="23"/>
        <v>-8.8142079770376122E-2</v>
      </c>
      <c r="I463" s="137">
        <f t="shared" si="23"/>
        <v>-3.128073972063742E-2</v>
      </c>
      <c r="J463" s="137">
        <f t="shared" si="23"/>
        <v>0.23192526401299757</v>
      </c>
      <c r="K463" s="137">
        <f t="shared" si="23"/>
        <v>-0.2968458072315639</v>
      </c>
      <c r="L463" s="137">
        <f t="shared" si="23"/>
        <v>-0.18451078462019382</v>
      </c>
      <c r="M463" s="137">
        <f t="shared" si="23"/>
        <v>0.33493052228078579</v>
      </c>
      <c r="R463" s="5"/>
    </row>
    <row r="464" spans="1:23" outlineLevel="1" x14ac:dyDescent="0.25">
      <c r="B464" s="5"/>
      <c r="C464" s="140"/>
      <c r="D464" s="129"/>
      <c r="E464" s="130"/>
      <c r="F464" s="130"/>
      <c r="G464" s="130"/>
      <c r="H464" s="130"/>
      <c r="I464" s="130"/>
      <c r="J464" s="130"/>
      <c r="K464" s="130"/>
      <c r="L464" s="130"/>
      <c r="M464" s="130"/>
      <c r="R464" s="5"/>
    </row>
    <row r="465" spans="2:18" outlineLevel="1" x14ac:dyDescent="0.25">
      <c r="B465" s="5"/>
      <c r="C465" s="140" t="s">
        <v>20</v>
      </c>
      <c r="D465" s="87">
        <v>-3001</v>
      </c>
      <c r="E465" s="87">
        <v>-8160</v>
      </c>
      <c r="F465" s="87">
        <v>-10928</v>
      </c>
      <c r="G465" s="87">
        <v>-7081</v>
      </c>
      <c r="H465" s="87">
        <v>-4912</v>
      </c>
      <c r="I465" s="87">
        <v>-26936</v>
      </c>
      <c r="J465" s="87">
        <v>-3028</v>
      </c>
      <c r="K465" s="87">
        <v>-5974</v>
      </c>
      <c r="L465" s="87">
        <v>-4202</v>
      </c>
      <c r="M465" s="87">
        <v>-7071</v>
      </c>
      <c r="R465" s="5"/>
    </row>
    <row r="466" spans="2:18" outlineLevel="1" x14ac:dyDescent="0.25">
      <c r="B466" s="5"/>
      <c r="C466" s="138" t="s">
        <v>127</v>
      </c>
      <c r="D466" s="136" t="s">
        <v>58</v>
      </c>
      <c r="E466" s="137">
        <f t="shared" ref="E466:M466" si="24">(E465-(D465))/ABS(D465)</f>
        <v>-1.7190936354548483</v>
      </c>
      <c r="F466" s="137">
        <f t="shared" si="24"/>
        <v>-0.33921568627450982</v>
      </c>
      <c r="G466" s="137">
        <f t="shared" si="24"/>
        <v>0.35203147877013174</v>
      </c>
      <c r="H466" s="137">
        <f t="shared" si="24"/>
        <v>0.30631266770230192</v>
      </c>
      <c r="I466" s="137">
        <f t="shared" si="24"/>
        <v>-4.4837133550488604</v>
      </c>
      <c r="J466" s="137">
        <f t="shared" si="24"/>
        <v>0.88758538758538763</v>
      </c>
      <c r="K466" s="137">
        <f t="shared" si="24"/>
        <v>-0.97291941875825627</v>
      </c>
      <c r="L466" s="137">
        <f t="shared" si="24"/>
        <v>0.29661868095078675</v>
      </c>
      <c r="M466" s="137">
        <f t="shared" si="24"/>
        <v>-0.68277010947168015</v>
      </c>
      <c r="R466" s="5"/>
    </row>
    <row r="467" spans="2:18" outlineLevel="1" x14ac:dyDescent="0.25">
      <c r="B467" s="5"/>
      <c r="C467" s="140"/>
      <c r="D467" s="129"/>
      <c r="E467" s="130"/>
      <c r="F467" s="130"/>
      <c r="G467" s="130"/>
      <c r="H467" s="130"/>
      <c r="I467" s="130"/>
      <c r="J467" s="130"/>
      <c r="K467" s="130"/>
      <c r="L467" s="130"/>
      <c r="M467" s="130"/>
      <c r="R467" s="5"/>
    </row>
    <row r="468" spans="2:18" outlineLevel="1" x14ac:dyDescent="0.25">
      <c r="B468" s="5"/>
      <c r="C468" s="140" t="s">
        <v>38</v>
      </c>
      <c r="D468" s="87">
        <v>-15452</v>
      </c>
      <c r="E468" s="87">
        <v>-9413</v>
      </c>
      <c r="F468" s="87">
        <v>-5725</v>
      </c>
      <c r="G468" s="87">
        <v>-6417</v>
      </c>
      <c r="H468" s="87">
        <v>-10470</v>
      </c>
      <c r="I468" s="87">
        <v>9043</v>
      </c>
      <c r="J468" s="87">
        <v>-9721</v>
      </c>
      <c r="K468" s="87">
        <v>-13354</v>
      </c>
      <c r="L468" s="87">
        <v>-4958</v>
      </c>
      <c r="M468" s="87">
        <v>-1769</v>
      </c>
      <c r="R468" s="5"/>
    </row>
    <row r="469" spans="2:18" outlineLevel="1" x14ac:dyDescent="0.25">
      <c r="B469" s="5"/>
      <c r="C469" s="138" t="s">
        <v>127</v>
      </c>
      <c r="D469" s="136" t="s">
        <v>58</v>
      </c>
      <c r="E469" s="137">
        <f t="shared" ref="E469:M469" si="25">(E468-(D468))/ABS(D468)</f>
        <v>0.39082319440849084</v>
      </c>
      <c r="F469" s="137">
        <f t="shared" si="25"/>
        <v>0.39179857643684268</v>
      </c>
      <c r="G469" s="137">
        <f t="shared" si="25"/>
        <v>-0.12087336244541484</v>
      </c>
      <c r="H469" s="137">
        <f t="shared" si="25"/>
        <v>-0.63160355306217864</v>
      </c>
      <c r="I469" s="137">
        <f t="shared" si="25"/>
        <v>1.8637058261700095</v>
      </c>
      <c r="J469" s="137">
        <f t="shared" si="25"/>
        <v>-2.0749751188764791</v>
      </c>
      <c r="K469" s="137">
        <f t="shared" si="25"/>
        <v>-0.37372698282069744</v>
      </c>
      <c r="L469" s="137">
        <f t="shared" si="25"/>
        <v>0.62872547551295488</v>
      </c>
      <c r="M469" s="137">
        <f t="shared" si="25"/>
        <v>0.64320290439693428</v>
      </c>
      <c r="R469" s="5"/>
    </row>
    <row r="470" spans="2:18" outlineLevel="1" x14ac:dyDescent="0.25">
      <c r="B470" s="5"/>
      <c r="C470" s="140"/>
      <c r="D470" s="129"/>
      <c r="E470" s="130"/>
      <c r="F470" s="130"/>
      <c r="G470" s="130"/>
      <c r="H470" s="130"/>
      <c r="I470" s="130"/>
      <c r="J470" s="130"/>
      <c r="K470" s="130"/>
      <c r="L470" s="130"/>
      <c r="M470" s="130"/>
      <c r="R470" s="5"/>
    </row>
    <row r="471" spans="2:18" outlineLevel="1" x14ac:dyDescent="0.25">
      <c r="B471" s="5"/>
      <c r="C471" s="140" t="s">
        <v>27</v>
      </c>
      <c r="D471" s="7">
        <v>-2238</v>
      </c>
      <c r="E471" s="7">
        <v>-789</v>
      </c>
      <c r="F471" s="7">
        <v>381</v>
      </c>
      <c r="G471" s="7">
        <v>4162</v>
      </c>
      <c r="H471" s="7">
        <v>-628</v>
      </c>
      <c r="I471" s="7">
        <v>-3288</v>
      </c>
      <c r="J471" s="7">
        <v>5362</v>
      </c>
      <c r="K471" s="7">
        <v>-6717</v>
      </c>
      <c r="L471" s="7">
        <v>1031</v>
      </c>
      <c r="M471" s="7">
        <v>5099</v>
      </c>
      <c r="R471" s="5"/>
    </row>
    <row r="472" spans="2:18" outlineLevel="1" x14ac:dyDescent="0.25">
      <c r="B472" s="5"/>
      <c r="C472" s="138" t="s">
        <v>127</v>
      </c>
      <c r="D472" s="136" t="s">
        <v>58</v>
      </c>
      <c r="E472" s="137">
        <f t="shared" ref="E472:M472" si="26">(E471-(D471))/ABS(D471)</f>
        <v>0.64745308310991956</v>
      </c>
      <c r="F472" s="137">
        <f t="shared" si="26"/>
        <v>1.4828897338403042</v>
      </c>
      <c r="G472" s="137">
        <f t="shared" si="26"/>
        <v>9.9238845144356951</v>
      </c>
      <c r="H472" s="137">
        <f t="shared" si="26"/>
        <v>-1.1508889956751562</v>
      </c>
      <c r="I472" s="137">
        <f t="shared" si="26"/>
        <v>-4.2356687898089174</v>
      </c>
      <c r="J472" s="137">
        <f t="shared" si="26"/>
        <v>2.6307785888077859</v>
      </c>
      <c r="K472" s="137">
        <f t="shared" si="26"/>
        <v>-2.252704214845207</v>
      </c>
      <c r="L472" s="137">
        <f t="shared" si="26"/>
        <v>1.153491141878815</v>
      </c>
      <c r="M472" s="137">
        <f t="shared" si="26"/>
        <v>3.9456838021338507</v>
      </c>
      <c r="R472" s="5"/>
    </row>
    <row r="473" spans="2:18" outlineLevel="1" x14ac:dyDescent="0.25">
      <c r="B473" s="5"/>
      <c r="C473" s="140"/>
      <c r="D473" s="129"/>
      <c r="E473" s="130"/>
      <c r="F473" s="130"/>
      <c r="G473" s="130"/>
      <c r="H473" s="130"/>
      <c r="I473" s="130"/>
      <c r="J473" s="130"/>
      <c r="K473" s="130"/>
      <c r="L473" s="130"/>
      <c r="M473" s="130"/>
      <c r="R473" s="5"/>
    </row>
    <row r="474" spans="2:18" ht="30" outlineLevel="1" x14ac:dyDescent="0.25">
      <c r="B474" s="5"/>
      <c r="C474" s="140" t="s">
        <v>95</v>
      </c>
      <c r="D474" s="7">
        <v>10714</v>
      </c>
      <c r="E474" s="7">
        <v>8476</v>
      </c>
      <c r="F474" s="7">
        <v>7687</v>
      </c>
      <c r="G474" s="7">
        <v>8068</v>
      </c>
      <c r="H474" s="7">
        <v>12230</v>
      </c>
      <c r="I474" s="7">
        <v>11602</v>
      </c>
      <c r="J474" s="7">
        <v>8314</v>
      </c>
      <c r="K474" s="7">
        <v>13676</v>
      </c>
      <c r="L474" s="7">
        <v>6959</v>
      </c>
      <c r="M474" s="7">
        <v>7990</v>
      </c>
      <c r="R474" s="5"/>
    </row>
    <row r="475" spans="2:18" outlineLevel="1" x14ac:dyDescent="0.25">
      <c r="B475" s="5"/>
      <c r="C475" s="138" t="s">
        <v>127</v>
      </c>
      <c r="D475" s="136" t="s">
        <v>58</v>
      </c>
      <c r="E475" s="137">
        <f t="shared" ref="E475:M475" si="27">(E474-(D474))/ABS(D474)</f>
        <v>-0.20888557028187418</v>
      </c>
      <c r="F475" s="137">
        <f t="shared" si="27"/>
        <v>-9.3086361491269462E-2</v>
      </c>
      <c r="G475" s="137">
        <f t="shared" si="27"/>
        <v>4.9564199297515286E-2</v>
      </c>
      <c r="H475" s="137">
        <f t="shared" si="27"/>
        <v>0.51586514625681701</v>
      </c>
      <c r="I475" s="137">
        <f t="shared" si="27"/>
        <v>-5.1349141455437446E-2</v>
      </c>
      <c r="J475" s="137">
        <f t="shared" si="27"/>
        <v>-0.28339941389415618</v>
      </c>
      <c r="K475" s="137">
        <f t="shared" si="27"/>
        <v>0.64493625210488337</v>
      </c>
      <c r="L475" s="137">
        <f t="shared" si="27"/>
        <v>-0.49115238373793507</v>
      </c>
      <c r="M475" s="137">
        <f t="shared" si="27"/>
        <v>0.1481534703261963</v>
      </c>
      <c r="R475" s="5"/>
    </row>
    <row r="476" spans="2:18" outlineLevel="1" x14ac:dyDescent="0.25">
      <c r="B476" s="5"/>
      <c r="C476" s="140"/>
      <c r="D476" s="129"/>
      <c r="E476" s="130"/>
      <c r="F476" s="130"/>
      <c r="G476" s="130"/>
      <c r="H476" s="130"/>
      <c r="I476" s="130"/>
      <c r="J476" s="130"/>
      <c r="K476" s="130"/>
      <c r="L476" s="130"/>
      <c r="M476" s="130"/>
      <c r="R476" s="5"/>
    </row>
    <row r="477" spans="2:18" ht="30" outlineLevel="1" x14ac:dyDescent="0.25">
      <c r="B477" s="5"/>
      <c r="C477" s="140" t="s">
        <v>96</v>
      </c>
      <c r="D477" s="7">
        <v>8476</v>
      </c>
      <c r="E477" s="7">
        <v>7687</v>
      </c>
      <c r="F477" s="7">
        <v>8068</v>
      </c>
      <c r="G477" s="7">
        <v>12230</v>
      </c>
      <c r="H477" s="7">
        <v>11602</v>
      </c>
      <c r="I477" s="7">
        <v>8314</v>
      </c>
      <c r="J477" s="7">
        <v>13676</v>
      </c>
      <c r="K477" s="7">
        <v>6959</v>
      </c>
      <c r="L477" s="7">
        <v>7990</v>
      </c>
      <c r="M477" s="7">
        <v>13089</v>
      </c>
      <c r="R477" s="5"/>
    </row>
    <row r="478" spans="2:18" outlineLevel="1" x14ac:dyDescent="0.25">
      <c r="B478" s="5"/>
      <c r="C478" s="138" t="s">
        <v>127</v>
      </c>
      <c r="D478" s="136" t="s">
        <v>58</v>
      </c>
      <c r="E478" s="137">
        <f t="shared" ref="E478:M478" si="28">(E477-D477)/D477</f>
        <v>-9.3086361491269462E-2</v>
      </c>
      <c r="F478" s="137">
        <f t="shared" si="28"/>
        <v>4.9564199297515286E-2</v>
      </c>
      <c r="G478" s="137">
        <f t="shared" si="28"/>
        <v>0.51586514625681701</v>
      </c>
      <c r="H478" s="137">
        <f t="shared" si="28"/>
        <v>-5.1349141455437446E-2</v>
      </c>
      <c r="I478" s="137">
        <f t="shared" si="28"/>
        <v>-0.28339941389415618</v>
      </c>
      <c r="J478" s="137">
        <f t="shared" si="28"/>
        <v>0.64493625210488337</v>
      </c>
      <c r="K478" s="137">
        <f t="shared" si="28"/>
        <v>-0.49115238373793507</v>
      </c>
      <c r="L478" s="137">
        <f t="shared" si="28"/>
        <v>0.1481534703261963</v>
      </c>
      <c r="M478" s="137">
        <f t="shared" si="28"/>
        <v>0.63817271589486857</v>
      </c>
      <c r="R478" s="5"/>
    </row>
    <row r="479" spans="2:18" outlineLevel="1" x14ac:dyDescent="0.25">
      <c r="B479" s="5"/>
      <c r="C479" s="140"/>
      <c r="D479" s="129"/>
      <c r="E479" s="130"/>
      <c r="F479" s="130"/>
      <c r="G479" s="130"/>
      <c r="H479" s="130"/>
      <c r="I479" s="130"/>
      <c r="J479" s="130"/>
      <c r="K479" s="130"/>
      <c r="L479" s="130"/>
      <c r="M479" s="130"/>
      <c r="R479" s="5"/>
    </row>
    <row r="480" spans="2:18" outlineLevel="1" x14ac:dyDescent="0.25">
      <c r="B480" s="5"/>
      <c r="C480" s="140" t="s">
        <v>97</v>
      </c>
      <c r="D480" s="87">
        <v>13130</v>
      </c>
      <c r="E480" s="87">
        <v>13678</v>
      </c>
      <c r="F480" s="87">
        <v>13518</v>
      </c>
      <c r="G480" s="87">
        <v>13494</v>
      </c>
      <c r="H480" s="87">
        <v>11854</v>
      </c>
      <c r="I480" s="87">
        <v>12486</v>
      </c>
      <c r="J480" s="87">
        <v>15580</v>
      </c>
      <c r="K480" s="87">
        <v>10734</v>
      </c>
      <c r="L480" s="87">
        <v>9089</v>
      </c>
      <c r="M480" s="87">
        <v>12685</v>
      </c>
      <c r="R480" s="5"/>
    </row>
    <row r="481" spans="2:18" outlineLevel="1" x14ac:dyDescent="0.25">
      <c r="B481" s="5"/>
      <c r="C481" s="138" t="s">
        <v>127</v>
      </c>
      <c r="D481" s="136" t="s">
        <v>58</v>
      </c>
      <c r="E481" s="137">
        <f t="shared" ref="E481:M481" si="29">(E480-D480)/D480</f>
        <v>4.1736481340441736E-2</v>
      </c>
      <c r="F481" s="137">
        <f t="shared" si="29"/>
        <v>-1.1697616610615587E-2</v>
      </c>
      <c r="G481" s="137">
        <f t="shared" si="29"/>
        <v>-1.7754105636928539E-3</v>
      </c>
      <c r="H481" s="137">
        <f t="shared" si="29"/>
        <v>-0.12153549725804061</v>
      </c>
      <c r="I481" s="137">
        <f t="shared" si="29"/>
        <v>5.331533659524211E-2</v>
      </c>
      <c r="J481" s="137">
        <f t="shared" si="29"/>
        <v>0.2477975332372257</v>
      </c>
      <c r="K481" s="137">
        <f t="shared" si="29"/>
        <v>-0.31103979460847242</v>
      </c>
      <c r="L481" s="137">
        <f t="shared" si="29"/>
        <v>-0.15325135084777344</v>
      </c>
      <c r="M481" s="137">
        <f t="shared" si="29"/>
        <v>0.39564308504786005</v>
      </c>
      <c r="R481" s="5"/>
    </row>
    <row r="482" spans="2:18" outlineLevel="1" x14ac:dyDescent="0.25">
      <c r="B482" s="5"/>
      <c r="R482" s="5"/>
    </row>
    <row r="483" spans="2:18" ht="15.75" outlineLevel="1" x14ac:dyDescent="0.25">
      <c r="C483" s="155" t="s">
        <v>146</v>
      </c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R483" s="5"/>
    </row>
    <row r="484" spans="2:18" outlineLevel="2" x14ac:dyDescent="0.2">
      <c r="B484" s="3" t="s">
        <v>182</v>
      </c>
    </row>
    <row r="485" spans="2:18" outlineLevel="2" x14ac:dyDescent="0.2">
      <c r="C485" s="338" t="s">
        <v>98</v>
      </c>
      <c r="D485" s="338"/>
      <c r="E485" s="338"/>
      <c r="F485" s="338"/>
      <c r="G485" s="338"/>
      <c r="H485" s="338"/>
      <c r="I485" s="338"/>
      <c r="J485" s="338"/>
      <c r="K485" s="338"/>
      <c r="L485" s="338"/>
      <c r="M485" s="338"/>
    </row>
    <row r="486" spans="2:18" outlineLevel="2" x14ac:dyDescent="0.2"/>
    <row r="487" spans="2:18" outlineLevel="2" x14ac:dyDescent="0.2"/>
    <row r="488" spans="2:18" outlineLevel="2" x14ac:dyDescent="0.2"/>
    <row r="489" spans="2:18" outlineLevel="2" x14ac:dyDescent="0.2"/>
    <row r="490" spans="2:18" outlineLevel="2" x14ac:dyDescent="0.2"/>
    <row r="491" spans="2:18" outlineLevel="2" x14ac:dyDescent="0.2"/>
    <row r="492" spans="2:18" outlineLevel="2" x14ac:dyDescent="0.2"/>
    <row r="493" spans="2:18" outlineLevel="2" x14ac:dyDescent="0.2"/>
    <row r="494" spans="2:18" outlineLevel="2" x14ac:dyDescent="0.2"/>
    <row r="495" spans="2:18" outlineLevel="2" x14ac:dyDescent="0.2"/>
    <row r="496" spans="2:18" outlineLevel="2" x14ac:dyDescent="0.2"/>
    <row r="497" spans="2:13" outlineLevel="2" x14ac:dyDescent="0.2"/>
    <row r="498" spans="2:13" outlineLevel="2" x14ac:dyDescent="0.2"/>
    <row r="499" spans="2:13" outlineLevel="2" x14ac:dyDescent="0.2"/>
    <row r="500" spans="2:13" outlineLevel="2" x14ac:dyDescent="0.25">
      <c r="B500" s="5" t="s">
        <v>182</v>
      </c>
      <c r="L500" s="10"/>
    </row>
    <row r="501" spans="2:13" outlineLevel="2" x14ac:dyDescent="0.2"/>
    <row r="502" spans="2:13" outlineLevel="2" x14ac:dyDescent="0.2">
      <c r="C502" s="338" t="s">
        <v>99</v>
      </c>
      <c r="D502" s="338"/>
      <c r="E502" s="338"/>
      <c r="F502" s="338"/>
      <c r="G502" s="338"/>
      <c r="H502" s="338"/>
      <c r="I502" s="338"/>
      <c r="J502" s="338"/>
      <c r="K502" s="338"/>
      <c r="L502" s="338"/>
      <c r="M502" s="338"/>
    </row>
    <row r="503" spans="2:13" outlineLevel="2" x14ac:dyDescent="0.2"/>
    <row r="504" spans="2:13" outlineLevel="2" x14ac:dyDescent="0.2"/>
    <row r="505" spans="2:13" outlineLevel="2" x14ac:dyDescent="0.2"/>
    <row r="506" spans="2:13" outlineLevel="2" x14ac:dyDescent="0.2"/>
    <row r="507" spans="2:13" outlineLevel="2" x14ac:dyDescent="0.2"/>
    <row r="508" spans="2:13" outlineLevel="2" x14ac:dyDescent="0.2"/>
    <row r="509" spans="2:13" outlineLevel="2" x14ac:dyDescent="0.2"/>
    <row r="510" spans="2:13" outlineLevel="2" x14ac:dyDescent="0.2"/>
    <row r="511" spans="2:13" outlineLevel="2" x14ac:dyDescent="0.2"/>
    <row r="512" spans="2:13" outlineLevel="2" x14ac:dyDescent="0.2"/>
    <row r="513" spans="2:13" outlineLevel="2" x14ac:dyDescent="0.2"/>
    <row r="514" spans="2:13" outlineLevel="2" x14ac:dyDescent="0.2"/>
    <row r="515" spans="2:13" outlineLevel="2" x14ac:dyDescent="0.2"/>
    <row r="516" spans="2:13" outlineLevel="2" x14ac:dyDescent="0.2"/>
    <row r="517" spans="2:13" outlineLevel="2" x14ac:dyDescent="0.25">
      <c r="B517" s="5" t="s">
        <v>182</v>
      </c>
      <c r="L517" s="10"/>
    </row>
    <row r="518" spans="2:13" outlineLevel="2" x14ac:dyDescent="0.2"/>
    <row r="519" spans="2:13" outlineLevel="2" x14ac:dyDescent="0.2">
      <c r="C519" s="338" t="s">
        <v>100</v>
      </c>
      <c r="D519" s="338"/>
      <c r="E519" s="338"/>
      <c r="F519" s="338"/>
      <c r="G519" s="338"/>
      <c r="H519" s="338"/>
      <c r="I519" s="338"/>
      <c r="J519" s="338"/>
      <c r="K519" s="338"/>
      <c r="L519" s="338"/>
      <c r="M519" s="338"/>
    </row>
    <row r="520" spans="2:13" outlineLevel="2" x14ac:dyDescent="0.2"/>
    <row r="521" spans="2:13" outlineLevel="2" x14ac:dyDescent="0.2"/>
    <row r="522" spans="2:13" outlineLevel="2" x14ac:dyDescent="0.2"/>
    <row r="523" spans="2:13" outlineLevel="2" x14ac:dyDescent="0.2"/>
    <row r="524" spans="2:13" outlineLevel="2" x14ac:dyDescent="0.2"/>
    <row r="525" spans="2:13" outlineLevel="2" x14ac:dyDescent="0.2"/>
    <row r="526" spans="2:13" outlineLevel="2" x14ac:dyDescent="0.2"/>
    <row r="527" spans="2:13" outlineLevel="2" x14ac:dyDescent="0.2"/>
    <row r="528" spans="2:13" outlineLevel="2" x14ac:dyDescent="0.2"/>
    <row r="529" spans="2:13" outlineLevel="2" x14ac:dyDescent="0.2"/>
    <row r="530" spans="2:13" outlineLevel="2" x14ac:dyDescent="0.2"/>
    <row r="531" spans="2:13" outlineLevel="2" x14ac:dyDescent="0.2"/>
    <row r="532" spans="2:13" outlineLevel="2" x14ac:dyDescent="0.2"/>
    <row r="533" spans="2:13" outlineLevel="2" x14ac:dyDescent="0.2"/>
    <row r="534" spans="2:13" outlineLevel="2" x14ac:dyDescent="0.25">
      <c r="B534" s="5" t="s">
        <v>182</v>
      </c>
      <c r="L534" s="10"/>
    </row>
    <row r="535" spans="2:13" outlineLevel="2" x14ac:dyDescent="0.2"/>
    <row r="536" spans="2:13" outlineLevel="2" x14ac:dyDescent="0.2">
      <c r="C536" s="338" t="s">
        <v>101</v>
      </c>
      <c r="D536" s="338"/>
      <c r="E536" s="338"/>
      <c r="F536" s="338"/>
      <c r="G536" s="338"/>
      <c r="H536" s="338"/>
      <c r="I536" s="338"/>
      <c r="J536" s="338"/>
      <c r="K536" s="338"/>
      <c r="L536" s="338"/>
      <c r="M536" s="338"/>
    </row>
    <row r="537" spans="2:13" outlineLevel="2" x14ac:dyDescent="0.2"/>
    <row r="538" spans="2:13" outlineLevel="2" x14ac:dyDescent="0.2"/>
    <row r="539" spans="2:13" outlineLevel="2" x14ac:dyDescent="0.2"/>
    <row r="540" spans="2:13" outlineLevel="2" x14ac:dyDescent="0.2"/>
    <row r="541" spans="2:13" outlineLevel="2" x14ac:dyDescent="0.2"/>
    <row r="542" spans="2:13" outlineLevel="2" x14ac:dyDescent="0.2"/>
    <row r="543" spans="2:13" outlineLevel="2" x14ac:dyDescent="0.2"/>
    <row r="544" spans="2:13" outlineLevel="2" x14ac:dyDescent="0.2"/>
    <row r="545" spans="2:13" outlineLevel="2" x14ac:dyDescent="0.2"/>
    <row r="546" spans="2:13" outlineLevel="2" x14ac:dyDescent="0.2"/>
    <row r="547" spans="2:13" outlineLevel="2" x14ac:dyDescent="0.2"/>
    <row r="548" spans="2:13" outlineLevel="2" x14ac:dyDescent="0.2"/>
    <row r="549" spans="2:13" outlineLevel="2" x14ac:dyDescent="0.2"/>
    <row r="550" spans="2:13" outlineLevel="2" x14ac:dyDescent="0.2"/>
    <row r="551" spans="2:13" outlineLevel="2" x14ac:dyDescent="0.25">
      <c r="B551" s="5" t="s">
        <v>182</v>
      </c>
      <c r="L551" s="10"/>
    </row>
    <row r="552" spans="2:13" outlineLevel="2" x14ac:dyDescent="0.2"/>
    <row r="553" spans="2:13" outlineLevel="2" x14ac:dyDescent="0.2">
      <c r="C553" s="338" t="s">
        <v>102</v>
      </c>
      <c r="D553" s="338"/>
      <c r="E553" s="338"/>
      <c r="F553" s="338"/>
      <c r="G553" s="338"/>
      <c r="H553" s="338"/>
      <c r="I553" s="338"/>
      <c r="J553" s="338"/>
      <c r="K553" s="338"/>
      <c r="L553" s="338"/>
      <c r="M553" s="338"/>
    </row>
    <row r="554" spans="2:13" outlineLevel="2" x14ac:dyDescent="0.2"/>
    <row r="555" spans="2:13" outlineLevel="2" x14ac:dyDescent="0.2"/>
    <row r="556" spans="2:13" outlineLevel="2" x14ac:dyDescent="0.2"/>
    <row r="557" spans="2:13" outlineLevel="2" x14ac:dyDescent="0.2"/>
    <row r="558" spans="2:13" outlineLevel="2" x14ac:dyDescent="0.2"/>
    <row r="559" spans="2:13" outlineLevel="2" x14ac:dyDescent="0.2"/>
    <row r="560" spans="2:13" outlineLevel="2" x14ac:dyDescent="0.2"/>
    <row r="561" spans="2:13" outlineLevel="2" x14ac:dyDescent="0.2"/>
    <row r="562" spans="2:13" outlineLevel="2" x14ac:dyDescent="0.2"/>
    <row r="563" spans="2:13" outlineLevel="2" x14ac:dyDescent="0.2"/>
    <row r="564" spans="2:13" outlineLevel="2" x14ac:dyDescent="0.2"/>
    <row r="565" spans="2:13" outlineLevel="2" x14ac:dyDescent="0.2"/>
    <row r="566" spans="2:13" outlineLevel="2" x14ac:dyDescent="0.2"/>
    <row r="567" spans="2:13" outlineLevel="2" x14ac:dyDescent="0.2"/>
    <row r="568" spans="2:13" outlineLevel="2" x14ac:dyDescent="0.25">
      <c r="B568" s="5" t="s">
        <v>182</v>
      </c>
      <c r="L568" s="10"/>
    </row>
    <row r="569" spans="2:13" outlineLevel="2" x14ac:dyDescent="0.2"/>
    <row r="570" spans="2:13" outlineLevel="2" x14ac:dyDescent="0.2">
      <c r="C570" s="338" t="s">
        <v>103</v>
      </c>
      <c r="D570" s="338"/>
      <c r="E570" s="338"/>
      <c r="F570" s="338"/>
      <c r="G570" s="338"/>
      <c r="H570" s="338"/>
      <c r="I570" s="338"/>
      <c r="J570" s="338"/>
      <c r="K570" s="338"/>
      <c r="L570" s="338"/>
      <c r="M570" s="338"/>
    </row>
    <row r="571" spans="2:13" outlineLevel="2" x14ac:dyDescent="0.2"/>
    <row r="572" spans="2:13" outlineLevel="2" x14ac:dyDescent="0.2"/>
    <row r="573" spans="2:13" outlineLevel="2" x14ac:dyDescent="0.2"/>
    <row r="574" spans="2:13" outlineLevel="2" x14ac:dyDescent="0.2"/>
    <row r="575" spans="2:13" outlineLevel="2" x14ac:dyDescent="0.2"/>
    <row r="576" spans="2:13" outlineLevel="2" x14ac:dyDescent="0.2"/>
    <row r="577" spans="2:13" outlineLevel="2" x14ac:dyDescent="0.2"/>
    <row r="578" spans="2:13" outlineLevel="2" x14ac:dyDescent="0.2"/>
    <row r="579" spans="2:13" outlineLevel="2" x14ac:dyDescent="0.2">
      <c r="I579" s="10" t="s">
        <v>104</v>
      </c>
    </row>
    <row r="580" spans="2:13" outlineLevel="2" x14ac:dyDescent="0.2"/>
    <row r="581" spans="2:13" outlineLevel="2" x14ac:dyDescent="0.2"/>
    <row r="582" spans="2:13" outlineLevel="2" x14ac:dyDescent="0.2"/>
    <row r="583" spans="2:13" outlineLevel="2" x14ac:dyDescent="0.2"/>
    <row r="584" spans="2:13" outlineLevel="2" x14ac:dyDescent="0.2"/>
    <row r="585" spans="2:13" outlineLevel="2" x14ac:dyDescent="0.25">
      <c r="B585" s="5" t="s">
        <v>182</v>
      </c>
      <c r="L585" s="10"/>
    </row>
    <row r="586" spans="2:13" outlineLevel="2" x14ac:dyDescent="0.2"/>
    <row r="587" spans="2:13" outlineLevel="2" x14ac:dyDescent="0.2">
      <c r="C587" s="338" t="s">
        <v>105</v>
      </c>
      <c r="D587" s="338"/>
      <c r="E587" s="338"/>
      <c r="F587" s="338"/>
      <c r="G587" s="338"/>
      <c r="H587" s="338"/>
      <c r="I587" s="338"/>
      <c r="J587" s="338"/>
      <c r="K587" s="338"/>
      <c r="L587" s="338"/>
      <c r="M587" s="338"/>
    </row>
    <row r="588" spans="2:13" outlineLevel="2" x14ac:dyDescent="0.2"/>
    <row r="589" spans="2:13" outlineLevel="2" x14ac:dyDescent="0.2"/>
    <row r="590" spans="2:13" outlineLevel="2" x14ac:dyDescent="0.2"/>
    <row r="591" spans="2:13" outlineLevel="2" x14ac:dyDescent="0.2"/>
    <row r="592" spans="2:13" outlineLevel="2" x14ac:dyDescent="0.2"/>
    <row r="593" spans="1:12" outlineLevel="2" x14ac:dyDescent="0.2"/>
    <row r="594" spans="1:12" outlineLevel="2" x14ac:dyDescent="0.2"/>
    <row r="595" spans="1:12" outlineLevel="2" x14ac:dyDescent="0.2"/>
    <row r="596" spans="1:12" outlineLevel="2" x14ac:dyDescent="0.2"/>
    <row r="597" spans="1:12" outlineLevel="2" x14ac:dyDescent="0.2"/>
    <row r="598" spans="1:12" outlineLevel="2" x14ac:dyDescent="0.2"/>
    <row r="599" spans="1:12" outlineLevel="2" x14ac:dyDescent="0.2"/>
    <row r="600" spans="1:12" outlineLevel="2" x14ac:dyDescent="0.2"/>
    <row r="601" spans="1:12" outlineLevel="2" x14ac:dyDescent="0.2"/>
    <row r="602" spans="1:12" outlineLevel="2" x14ac:dyDescent="0.25">
      <c r="A602" s="5" t="s">
        <v>182</v>
      </c>
      <c r="B602" s="5" t="s">
        <v>182</v>
      </c>
      <c r="L602" s="10"/>
    </row>
    <row r="603" spans="1:12" outlineLevel="1" x14ac:dyDescent="0.2"/>
    <row r="604" spans="1:12" outlineLevel="1" x14ac:dyDescent="0.2"/>
    <row r="605" spans="1:12" outlineLevel="1" x14ac:dyDescent="0.2"/>
    <row r="606" spans="1:12" outlineLevel="1" x14ac:dyDescent="0.2"/>
    <row r="607" spans="1:12" outlineLevel="1" x14ac:dyDescent="0.25">
      <c r="A607" s="5" t="s">
        <v>182</v>
      </c>
      <c r="B607" s="5" t="s">
        <v>182</v>
      </c>
    </row>
  </sheetData>
  <mergeCells count="30">
    <mergeCell ref="C570:M570"/>
    <mergeCell ref="C587:M587"/>
    <mergeCell ref="C98:M98"/>
    <mergeCell ref="C2:M2"/>
    <mergeCell ref="C30:M30"/>
    <mergeCell ref="C47:M47"/>
    <mergeCell ref="C64:M64"/>
    <mergeCell ref="C81:M81"/>
    <mergeCell ref="C115:M115"/>
    <mergeCell ref="C132:M132"/>
    <mergeCell ref="C485:M485"/>
    <mergeCell ref="C502:M502"/>
    <mergeCell ref="C519:M519"/>
    <mergeCell ref="C536:M536"/>
    <mergeCell ref="C553:M553"/>
    <mergeCell ref="C374:M374"/>
    <mergeCell ref="C391:M391"/>
    <mergeCell ref="C408:M408"/>
    <mergeCell ref="C425:M425"/>
    <mergeCell ref="C442:M442"/>
    <mergeCell ref="C289:M289"/>
    <mergeCell ref="C306:M306"/>
    <mergeCell ref="C323:M323"/>
    <mergeCell ref="C340:M340"/>
    <mergeCell ref="C357:M357"/>
    <mergeCell ref="C169:M169"/>
    <mergeCell ref="C186:M186"/>
    <mergeCell ref="C203:M203"/>
    <mergeCell ref="C220:M220"/>
    <mergeCell ref="C237:M237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2"/>
  <sheetViews>
    <sheetView showGridLines="0" workbookViewId="0">
      <pane ySplit="3" topLeftCell="A4" activePane="bottomLeft" state="frozen"/>
      <selection pane="bottomLeft"/>
    </sheetView>
  </sheetViews>
  <sheetFormatPr defaultRowHeight="15" x14ac:dyDescent="0.2"/>
  <cols>
    <col min="1" max="1" width="3" style="3" customWidth="1"/>
    <col min="2" max="2" width="40.1640625" style="3" customWidth="1"/>
    <col min="3" max="12" width="12.1640625" style="10" customWidth="1"/>
    <col min="13" max="13" width="33.33203125" style="3" customWidth="1"/>
    <col min="14" max="15" width="9.6640625" style="10" customWidth="1"/>
    <col min="16" max="16384" width="9.33203125" style="3"/>
  </cols>
  <sheetData>
    <row r="2" spans="1:15" ht="21" customHeight="1" x14ac:dyDescent="0.25">
      <c r="A2" s="5"/>
      <c r="B2" s="337" t="s">
        <v>226</v>
      </c>
      <c r="C2" s="337"/>
      <c r="D2" s="337"/>
      <c r="E2" s="337"/>
      <c r="F2" s="337"/>
      <c r="G2" s="337"/>
      <c r="H2" s="337"/>
      <c r="I2" s="337"/>
      <c r="J2" s="337"/>
      <c r="K2" s="337"/>
      <c r="L2" s="337"/>
      <c r="M2" s="337"/>
      <c r="N2" s="337"/>
      <c r="O2" s="337"/>
    </row>
    <row r="3" spans="1:15" x14ac:dyDescent="0.2">
      <c r="B3" s="22"/>
      <c r="C3" s="4">
        <v>42004</v>
      </c>
      <c r="D3" s="4">
        <f>EDATE(C3,12)</f>
        <v>42369</v>
      </c>
      <c r="E3" s="4">
        <f t="shared" ref="E3:L3" si="0">EDATE(D3,12)</f>
        <v>42735</v>
      </c>
      <c r="F3" s="4">
        <f t="shared" si="0"/>
        <v>43100</v>
      </c>
      <c r="G3" s="4">
        <f t="shared" si="0"/>
        <v>43465</v>
      </c>
      <c r="H3" s="4">
        <f t="shared" si="0"/>
        <v>43830</v>
      </c>
      <c r="I3" s="4">
        <f t="shared" si="0"/>
        <v>44196</v>
      </c>
      <c r="J3" s="4">
        <f t="shared" si="0"/>
        <v>44561</v>
      </c>
      <c r="K3" s="4">
        <f t="shared" si="0"/>
        <v>44926</v>
      </c>
      <c r="L3" s="4">
        <f t="shared" si="0"/>
        <v>45291</v>
      </c>
      <c r="M3" s="45" t="s">
        <v>255</v>
      </c>
      <c r="N3" s="4" t="s">
        <v>253</v>
      </c>
      <c r="O3" s="4" t="s">
        <v>254</v>
      </c>
    </row>
    <row r="4" spans="1:15" x14ac:dyDescent="0.2">
      <c r="A4" s="3" t="s">
        <v>182</v>
      </c>
    </row>
    <row r="5" spans="1:15" x14ac:dyDescent="0.2">
      <c r="B5" s="33" t="s">
        <v>227</v>
      </c>
      <c r="C5" s="34"/>
      <c r="D5" s="34">
        <f>'Historical Financial statements'!D7</f>
        <v>-0.11909303503497026</v>
      </c>
      <c r="E5" s="34">
        <f>'Historical Financial statements'!E7</f>
        <v>-2.2289643023170491E-2</v>
      </c>
      <c r="F5" s="34">
        <f>'Historical Financial statements'!F7</f>
        <v>-9.7722722722722866E-3</v>
      </c>
      <c r="G5" s="34">
        <f>'Historical Financial statements'!G7</f>
        <v>5.7114696925661956E-3</v>
      </c>
      <c r="H5" s="34">
        <f>'Historical Financial statements'!H7</f>
        <v>-0.27486776143031244</v>
      </c>
      <c r="I5" s="34">
        <f>'Historical Financial statements'!I7</f>
        <v>-4.3923484769726628E-2</v>
      </c>
      <c r="J5" s="34">
        <f>'Historical Financial statements'!J7</f>
        <v>3.9362801065622843E-2</v>
      </c>
      <c r="K5" s="34">
        <f>'Historical Financial statements'!K7</f>
        <v>5.5430594061132377E-2</v>
      </c>
      <c r="L5" s="34">
        <f>'Historical Financial statements'!L7</f>
        <v>2.197257558235588E-2</v>
      </c>
      <c r="M5" s="33"/>
      <c r="N5" s="38">
        <f>AVERAGE(D5:L5)</f>
        <v>-3.8607639569863871E-2</v>
      </c>
      <c r="O5" s="38">
        <f>MEDIAN(C5:L5)</f>
        <v>-9.7722722722722866E-3</v>
      </c>
    </row>
    <row r="6" spans="1:15" x14ac:dyDescent="0.2">
      <c r="B6" s="3" t="s">
        <v>231</v>
      </c>
      <c r="C6" s="29"/>
      <c r="D6" s="29">
        <f>'Historical Financial statements'!D12/'Historical Financial statements'!C12-1</f>
        <v>-0.12330036416919865</v>
      </c>
      <c r="E6" s="29">
        <f>'Historical Financial statements'!E12/'Historical Financial statements'!D12-1</f>
        <v>-5.3262873294826152E-2</v>
      </c>
      <c r="F6" s="29">
        <f>'Historical Financial statements'!F12/'Historical Financial statements'!E12-1</f>
        <v>-4.0889973518874245E-2</v>
      </c>
      <c r="G6" s="29">
        <f>'Historical Financial statements'!G12/'Historical Financial statements'!F12-1</f>
        <v>-1.624123649947018E-4</v>
      </c>
      <c r="H6" s="29">
        <f>'Historical Financial statements'!H12/'Historical Financial statements'!G12-1</f>
        <v>-0.14627609172374578</v>
      </c>
      <c r="I6" s="29">
        <f>'Historical Financial statements'!I12/'Historical Financial statements'!H12-1</f>
        <v>-2.1215196296061389E-2</v>
      </c>
      <c r="J6" s="29">
        <f>'Historical Financial statements'!J12/'Historical Financial statements'!I12-1</f>
        <v>2.0119876883200938E-2</v>
      </c>
      <c r="K6" s="29">
        <f>'Historical Financial statements'!K12/'Historical Financial statements'!J12-1</f>
        <v>3.8175697135234721E-2</v>
      </c>
      <c r="L6" s="29">
        <f>'Historical Financial statements'!L12/'Historical Financial statements'!K12-1</f>
        <v>4.9314733235438002E-2</v>
      </c>
      <c r="N6" s="30">
        <f>AVERAGE(D6:L6)</f>
        <v>-3.0832956012647475E-2</v>
      </c>
      <c r="O6" s="30">
        <f t="shared" ref="O6:O41" si="1">MEDIAN(C6:L6)</f>
        <v>-2.1215196296061389E-2</v>
      </c>
    </row>
    <row r="7" spans="1:15" x14ac:dyDescent="0.2">
      <c r="B7" s="3" t="s">
        <v>237</v>
      </c>
      <c r="C7" s="29"/>
      <c r="D7" s="29">
        <f>'Historical Financial statements'!D18/'Historical Financial statements'!C18-1</f>
        <v>-0.15637998875772907</v>
      </c>
      <c r="E7" s="29">
        <f>'Historical Financial statements'!E18/'Historical Financial statements'!D18-1</f>
        <v>-0.20555703624733479</v>
      </c>
      <c r="F7" s="29">
        <f>'Historical Financial statements'!F18/'Historical Financial statements'!E18-1</f>
        <v>-2.0967877212111019E-2</v>
      </c>
      <c r="G7" s="29">
        <f>'Historical Financial statements'!G18/'Historical Financial statements'!F18-1</f>
        <v>4.4461578000513979E-2</v>
      </c>
      <c r="H7" s="29">
        <f>'Historical Financial statements'!H18/'Historical Financial statements'!G18-1</f>
        <v>-0.43405511811023623</v>
      </c>
      <c r="I7" s="29">
        <f>'Historical Financial statements'!I18/'Historical Financial statements'!H18-1</f>
        <v>-0.41420289855072467</v>
      </c>
      <c r="J7" s="29">
        <f>'Historical Financial statements'!J18/'Historical Financial statements'!I18-1</f>
        <v>0.54700643245917857</v>
      </c>
      <c r="K7" s="29">
        <f>'Historical Financial statements'!K18/'Historical Financial statements'!J18-1</f>
        <v>0.20134335518950897</v>
      </c>
      <c r="L7" s="29">
        <f>'Historical Financial statements'!L18/'Historical Financial statements'!K18-1</f>
        <v>0.13445154419595307</v>
      </c>
      <c r="N7" s="30">
        <f>AVERAGE(D7:L7)</f>
        <v>-3.3766667670331256E-2</v>
      </c>
      <c r="O7" s="30">
        <f t="shared" si="1"/>
        <v>-2.0967877212111019E-2</v>
      </c>
    </row>
    <row r="8" spans="1:15" x14ac:dyDescent="0.2">
      <c r="B8" s="3" t="s">
        <v>230</v>
      </c>
      <c r="D8" s="29">
        <f>'Historical Financial statements'!D30/'Historical Financial statements'!C30-1</f>
        <v>-0.20214149904933454</v>
      </c>
      <c r="E8" s="29">
        <f>'Historical Financial statements'!E30/'Historical Financial statements'!D30-1</f>
        <v>-0.22670262134704633</v>
      </c>
      <c r="F8" s="29">
        <f>'Historical Financial statements'!F30/'Historical Financial statements'!E30-1</f>
        <v>-7.5581866839672385E-2</v>
      </c>
      <c r="G8" s="29">
        <f>'Historical Financial statements'!G30/'Historical Financial statements'!F30-1</f>
        <v>-4.9127116413720806E-3</v>
      </c>
      <c r="H8" s="29">
        <f>'Historical Financial statements'!H30/'Historical Financial statements'!G30-1</f>
        <v>-0.36463016838578854</v>
      </c>
      <c r="I8" s="29">
        <f>'Historical Financial statements'!I30/'Historical Financial statements'!H30-1</f>
        <v>-0.64312473983627028</v>
      </c>
      <c r="J8" s="29">
        <f>'Historical Financial statements'!J30/'Historical Financial statements'!I30-1</f>
        <v>0.88063763608087098</v>
      </c>
      <c r="K8" s="29">
        <f>'Historical Financial statements'!K30/'Historical Financial statements'!J30-1</f>
        <v>-0.76100888980773207</v>
      </c>
      <c r="L8" s="29">
        <f>'Historical Financial statements'!L30/'Historical Financial statements'!K30-1</f>
        <v>6.5164359861591699</v>
      </c>
      <c r="N8" s="30">
        <f>AVERAGE(D8:L8)</f>
        <v>0.56877456948142502</v>
      </c>
      <c r="O8" s="30">
        <f t="shared" si="1"/>
        <v>-0.20214149904933454</v>
      </c>
    </row>
    <row r="9" spans="1:15" x14ac:dyDescent="0.2">
      <c r="B9" s="35" t="s">
        <v>228</v>
      </c>
      <c r="C9" s="36"/>
      <c r="D9" s="37">
        <f>'Historical Financial statements'!D42/'Historical Financial statements'!C42-1</f>
        <v>9.7147134658571055E-2</v>
      </c>
      <c r="E9" s="37">
        <f>'Historical Financial statements'!E42/'Historical Financial statements'!D42-1</f>
        <v>-9.9916609809718726E-2</v>
      </c>
      <c r="F9" s="37">
        <f>'Historical Financial statements'!F42/'Historical Financial statements'!E42-1</f>
        <v>-0.5155394592773519</v>
      </c>
      <c r="G9" s="37">
        <f>'Historical Financial statements'!G42/'Historical Financial statements'!F42-1</f>
        <v>0.51755910987482623</v>
      </c>
      <c r="H9" s="37">
        <f>'Historical Financial statements'!H42/'Historical Financial statements'!G42-1</f>
        <v>8.053614388818886E-2</v>
      </c>
      <c r="I9" s="37">
        <f>'Historical Financial statements'!I42/'Historical Financial statements'!H42-1</f>
        <v>-0.40733672603901616</v>
      </c>
      <c r="J9" s="37">
        <f>'Historical Financial statements'!J42/'Historical Financial statements'!I42-1</f>
        <v>2.7370304114490152E-2</v>
      </c>
      <c r="K9" s="37">
        <f>'Historical Financial statements'!K42/'Historical Financial statements'!J42-1</f>
        <v>-0.71460908932613609</v>
      </c>
      <c r="L9" s="37">
        <f>'Historical Financial statements'!L42/'Historical Financial statements'!K42-1</f>
        <v>3.5765710799267847</v>
      </c>
      <c r="M9" s="35"/>
      <c r="N9" s="39">
        <f>AVERAGE(D9:L9)</f>
        <v>0.284642432001182</v>
      </c>
      <c r="O9" s="39">
        <f t="shared" si="1"/>
        <v>2.7370304114490152E-2</v>
      </c>
    </row>
    <row r="10" spans="1:15" x14ac:dyDescent="0.2">
      <c r="O10" s="30"/>
    </row>
    <row r="11" spans="1:15" x14ac:dyDescent="0.2">
      <c r="B11" s="33" t="s">
        <v>107</v>
      </c>
      <c r="C11" s="38">
        <f>'Historical Financial statements'!C13</f>
        <v>0.50011315508712939</v>
      </c>
      <c r="D11" s="38">
        <f>'Historical Financial statements'!D13</f>
        <v>0.49772454796799687</v>
      </c>
      <c r="E11" s="38">
        <f>'Historical Financial statements'!E13</f>
        <v>0.48195695695695695</v>
      </c>
      <c r="F11" s="38">
        <f>'Historical Financial statements'!F13</f>
        <v>0.46681155940813002</v>
      </c>
      <c r="G11" s="38">
        <f>'Historical Financial statements'!G13</f>
        <v>0.46408513525398598</v>
      </c>
      <c r="H11" s="38">
        <f>'Historical Financial statements'!H13</f>
        <v>0.54638389298956924</v>
      </c>
      <c r="I11" s="38">
        <f>'Historical Financial statements'!I13</f>
        <v>0.5593613512386959</v>
      </c>
      <c r="J11" s="38">
        <f>'Historical Financial statements'!J13</f>
        <v>0.54900524838276576</v>
      </c>
      <c r="K11" s="38">
        <f>'Historical Financial statements'!K13</f>
        <v>0.54002973732033699</v>
      </c>
      <c r="L11" s="38">
        <f>'Historical Financial statements'!L13</f>
        <v>0.55447785321694143</v>
      </c>
      <c r="M11" s="33"/>
      <c r="N11" s="38">
        <f>AVERAGE(C11:L11)</f>
        <v>0.51599494378225086</v>
      </c>
      <c r="O11" s="38">
        <f t="shared" si="1"/>
        <v>0.52007144620373325</v>
      </c>
    </row>
    <row r="12" spans="1:15" x14ac:dyDescent="0.2">
      <c r="B12" s="3" t="s">
        <v>232</v>
      </c>
      <c r="C12" s="30">
        <f>'Historical Financial statements'!C19</f>
        <v>0.19171704762212666</v>
      </c>
      <c r="D12" s="30">
        <f>'Historical Financial statements'!D19</f>
        <v>0.1836020650338871</v>
      </c>
      <c r="E12" s="30">
        <f>'Historical Financial statements'!E19</f>
        <v>0.14918668668668669</v>
      </c>
      <c r="F12" s="30">
        <f>'Historical Financial statements'!F19</f>
        <v>0.14749996841001276</v>
      </c>
      <c r="G12" s="30">
        <f>'Historical Financial statements'!G19</f>
        <v>0.15318314884848788</v>
      </c>
      <c r="H12" s="30">
        <f>'Historical Financial statements'!H19</f>
        <v>0.11955504730221436</v>
      </c>
      <c r="I12" s="30">
        <f>'Historical Financial statements'!I19</f>
        <v>7.3252505482158073E-2</v>
      </c>
      <c r="J12" s="30">
        <f>'Historical Financial statements'!J19</f>
        <v>0.10903035692490105</v>
      </c>
      <c r="K12" s="30">
        <f>'Historical Financial statements'!K19</f>
        <v>0.12410375020650917</v>
      </c>
      <c r="L12" s="30">
        <f>'Historical Financial statements'!L19</f>
        <v>0.13776268994503718</v>
      </c>
      <c r="N12" s="30">
        <f t="shared" ref="N12:N41" si="2">AVERAGE(C12:L12)</f>
        <v>0.13888932664620213</v>
      </c>
      <c r="O12" s="30">
        <f t="shared" si="1"/>
        <v>0.14263132917752497</v>
      </c>
    </row>
    <row r="13" spans="1:15" x14ac:dyDescent="0.2">
      <c r="B13" s="3" t="s">
        <v>233</v>
      </c>
      <c r="C13" s="30">
        <f>'Historical Financial statements'!C31</f>
        <v>0.21538262584462189</v>
      </c>
      <c r="D13" s="30">
        <f>'Historical Financial statements'!D31</f>
        <v>0.19507719409850505</v>
      </c>
      <c r="E13" s="30">
        <f>'Historical Financial statements'!E31</f>
        <v>0.15429179179179178</v>
      </c>
      <c r="F13" s="30">
        <f>'Historical Financial statements'!F31</f>
        <v>0.14403770580876685</v>
      </c>
      <c r="G13" s="30">
        <f>'Historical Financial statements'!G31</f>
        <v>0.14251611363093816</v>
      </c>
      <c r="H13" s="30">
        <f>'Historical Financial statements'!H31</f>
        <v>0.12487438056624042</v>
      </c>
      <c r="I13" s="30">
        <f>'Historical Financial statements'!I31</f>
        <v>4.6611935700175793E-2</v>
      </c>
      <c r="J13" s="30">
        <f>'Historical Financial statements'!J31</f>
        <v>8.434029049188331E-2</v>
      </c>
      <c r="K13" s="30">
        <f>'Historical Financial statements'!K31</f>
        <v>1.9097967949776969E-2</v>
      </c>
      <c r="L13" s="30">
        <f>'Historical Financial statements'!L31</f>
        <v>0.14046233430326543</v>
      </c>
      <c r="N13" s="30">
        <f t="shared" si="2"/>
        <v>0.12666923401859656</v>
      </c>
      <c r="O13" s="30">
        <f t="shared" si="1"/>
        <v>0.14148922396710178</v>
      </c>
    </row>
    <row r="14" spans="1:15" x14ac:dyDescent="0.2">
      <c r="B14" s="35" t="s">
        <v>234</v>
      </c>
      <c r="C14" s="39">
        <f>'Historical Financial statements'!C43</f>
        <v>0.12956796310066493</v>
      </c>
      <c r="D14" s="39">
        <f>'Historical Financial statements'!D43</f>
        <v>0.16137359007609306</v>
      </c>
      <c r="E14" s="39">
        <f>'Historical Financial statements'!E43</f>
        <v>0.14856106106106107</v>
      </c>
      <c r="F14" s="39">
        <f>'Historical Financial statements'!F43</f>
        <v>7.2682242636373975E-2</v>
      </c>
      <c r="G14" s="39">
        <f>'Historical Financial statements'!G43</f>
        <v>0.1096732042567627</v>
      </c>
      <c r="H14" s="39">
        <f>'Historical Financial statements'!H43</f>
        <v>0.16342655161659217</v>
      </c>
      <c r="I14" s="39">
        <f>'Historical Financial statements'!I43</f>
        <v>0.10130665651787818</v>
      </c>
      <c r="J14" s="39">
        <f>'Historical Financial statements'!J43</f>
        <v>0.10013774825199212</v>
      </c>
      <c r="K14" s="39">
        <f>'Historical Financial statements'!K43</f>
        <v>2.7077482240211465E-2</v>
      </c>
      <c r="L14" s="39">
        <f>'Historical Financial statements'!L43</f>
        <v>0.12125767862916262</v>
      </c>
      <c r="M14" s="35"/>
      <c r="N14" s="39">
        <f t="shared" si="2"/>
        <v>0.11350641783867924</v>
      </c>
      <c r="O14" s="39">
        <f t="shared" si="1"/>
        <v>0.11546544144296267</v>
      </c>
    </row>
    <row r="15" spans="1:15" x14ac:dyDescent="0.2">
      <c r="N15" s="30"/>
      <c r="O15" s="30"/>
    </row>
    <row r="16" spans="1:15" x14ac:dyDescent="0.2">
      <c r="B16" s="33" t="s">
        <v>160</v>
      </c>
      <c r="C16" s="38">
        <f>'Historical Financial statements'!C10</f>
        <v>0.49988684491287061</v>
      </c>
      <c r="D16" s="38">
        <f>'Historical Financial statements'!D10</f>
        <v>0.50227545203200308</v>
      </c>
      <c r="E16" s="38">
        <f>'Historical Financial statements'!E10</f>
        <v>0.51804304304304305</v>
      </c>
      <c r="F16" s="38">
        <f>'Historical Financial statements'!F10</f>
        <v>0.53318844059186998</v>
      </c>
      <c r="G16" s="38">
        <f>'Historical Financial statements'!G10</f>
        <v>0.53591486474601402</v>
      </c>
      <c r="H16" s="38">
        <f>'Historical Financial statements'!H10</f>
        <v>0.45361610701043076</v>
      </c>
      <c r="I16" s="38">
        <f>'Historical Financial statements'!I10</f>
        <v>0.4406386487613041</v>
      </c>
      <c r="J16" s="38">
        <f>'Historical Financial statements'!J10</f>
        <v>0.45099475161723424</v>
      </c>
      <c r="K16" s="38">
        <f>'Historical Financial statements'!K10</f>
        <v>0.45997026267966296</v>
      </c>
      <c r="L16" s="38">
        <f>'Historical Financial statements'!L10</f>
        <v>0.44552214678305851</v>
      </c>
      <c r="M16" s="33"/>
      <c r="N16" s="38">
        <f t="shared" si="2"/>
        <v>0.48400505621774909</v>
      </c>
      <c r="O16" s="38">
        <f t="shared" si="1"/>
        <v>0.47992855379626675</v>
      </c>
    </row>
    <row r="17" spans="2:15" x14ac:dyDescent="0.2">
      <c r="B17" s="35" t="s">
        <v>236</v>
      </c>
      <c r="C17" s="39">
        <f>'Historical Financial statements'!C16</f>
        <v>0.30839610746500273</v>
      </c>
      <c r="D17" s="39">
        <f>'Historical Financial statements'!D16</f>
        <v>0.31412248293410977</v>
      </c>
      <c r="E17" s="39">
        <f>'Historical Financial statements'!E16</f>
        <v>0.33277027027027029</v>
      </c>
      <c r="F17" s="39">
        <f>'Historical Financial statements'!F16</f>
        <v>0.31931159099811723</v>
      </c>
      <c r="G17" s="39">
        <f>'Historical Financial statements'!G16</f>
        <v>0.3109019864054981</v>
      </c>
      <c r="H17" s="39">
        <f>'Historical Financial statements'!H16</f>
        <v>0.42682884568735491</v>
      </c>
      <c r="I17" s="39">
        <f>'Historical Financial statements'!I16</f>
        <v>0.48610884575653779</v>
      </c>
      <c r="J17" s="39">
        <f>'Historical Financial statements'!J16</f>
        <v>0.43997489145786473</v>
      </c>
      <c r="K17" s="39">
        <f>'Historical Financial statements'!K16</f>
        <v>0.41592598711382783</v>
      </c>
      <c r="L17" s="39">
        <f>'Historical Financial statements'!L16</f>
        <v>0.41671516327190428</v>
      </c>
      <c r="M17" s="35"/>
      <c r="N17" s="39">
        <f t="shared" si="2"/>
        <v>0.37710561713604879</v>
      </c>
      <c r="O17" s="39">
        <f t="shared" si="1"/>
        <v>0.37434812869204903</v>
      </c>
    </row>
    <row r="18" spans="2:15" x14ac:dyDescent="0.2">
      <c r="N18" s="30"/>
      <c r="O18" s="30"/>
    </row>
    <row r="19" spans="2:15" x14ac:dyDescent="0.2">
      <c r="B19" s="33" t="s">
        <v>239</v>
      </c>
      <c r="C19" s="34">
        <f>'Historical Financial statements'!C18/('Historical Financial statements'!C107+'Historical Financial statements'!C120)</f>
        <v>0.22898405220681933</v>
      </c>
      <c r="D19" s="34">
        <f>'Historical Financial statements'!D18/('Historical Financial statements'!D107+'Historical Financial statements'!D120)</f>
        <v>0.19689078386356182</v>
      </c>
      <c r="E19" s="34">
        <f>'Historical Financial statements'!E18/('Historical Financial statements'!E107+'Historical Financial statements'!E120)</f>
        <v>0.14684401748876164</v>
      </c>
      <c r="F19" s="34">
        <f>'Historical Financial statements'!F18/('Historical Financial statements'!F107+'Historical Financial statements'!F120)</f>
        <v>0.13265978725338667</v>
      </c>
      <c r="G19" s="34">
        <f>'Historical Financial statements'!G18/('Historical Financial statements'!G107+'Historical Financial statements'!G120)</f>
        <v>0.14317589308781736</v>
      </c>
      <c r="H19" s="34">
        <f>'Historical Financial statements'!H18/('Historical Financial statements'!H107+'Historical Financial statements'!H120)</f>
        <v>6.0269904354282221E-2</v>
      </c>
      <c r="I19" s="34">
        <f>'Historical Financial statements'!I18/('Historical Financial statements'!I107+'Historical Financial statements'!I120)</f>
        <v>3.4814215086734081E-2</v>
      </c>
      <c r="J19" s="34">
        <f>'Historical Financial statements'!J18/('Historical Financial statements'!J107+'Historical Financial statements'!J120)</f>
        <v>6.35583744994003E-2</v>
      </c>
      <c r="K19" s="34">
        <f>'Historical Financial statements'!K18/('Historical Financial statements'!K107+'Historical Financial statements'!K120)</f>
        <v>7.8464141720111139E-2</v>
      </c>
      <c r="L19" s="34">
        <f>'Historical Financial statements'!L18/('Historical Financial statements'!L107+'Historical Financial statements'!L120)</f>
        <v>8.4276941029875693E-2</v>
      </c>
      <c r="M19" s="33"/>
      <c r="N19" s="38">
        <f t="shared" si="2"/>
        <v>0.11699381105907503</v>
      </c>
      <c r="O19" s="38">
        <f t="shared" si="1"/>
        <v>0.10846836414163119</v>
      </c>
    </row>
    <row r="20" spans="2:15" x14ac:dyDescent="0.2">
      <c r="B20" s="3" t="s">
        <v>240</v>
      </c>
      <c r="C20" s="29">
        <f>'Historical Financial statements'!C42/'Historical Financial statements'!C118</f>
        <v>1.0129749768303986</v>
      </c>
      <c r="D20" s="29">
        <f>'Historical Financial statements'!D42/'Historical Financial statements'!D118</f>
        <v>0.92497019844330697</v>
      </c>
      <c r="E20" s="29">
        <f>'Historical Financial statements'!E42/'Historical Financial statements'!E118</f>
        <v>0.6507179655814973</v>
      </c>
      <c r="F20" s="29">
        <f>'Historical Financial statements'!F42/'Historical Financial statements'!F118</f>
        <v>0.32694821804126639</v>
      </c>
      <c r="G20" s="29">
        <f>'Historical Financial statements'!G42/'Historical Financial statements'!G118</f>
        <v>0.51973801726704372</v>
      </c>
      <c r="H20" s="29">
        <f>'Historical Financial statements'!H42/'Historical Financial statements'!H118</f>
        <v>0.45256945444076579</v>
      </c>
      <c r="I20" s="29">
        <f>'Historical Financial statements'!I42/'Historical Financial statements'!I118</f>
        <v>0.27139874739039666</v>
      </c>
      <c r="J20" s="29">
        <f>'Historical Financial statements'!J42/'Historical Financial statements'!J118</f>
        <v>0.30384635733559073</v>
      </c>
      <c r="K20" s="29">
        <f>'Historical Financial statements'!K42/'Historical Financial statements'!K118</f>
        <v>7.4690120306234051E-2</v>
      </c>
      <c r="L20" s="29">
        <f>'Historical Financial statements'!L42/'Historical Financial statements'!L118</f>
        <v>0.33287476701872726</v>
      </c>
      <c r="N20" s="30">
        <f t="shared" si="2"/>
        <v>0.48707288226552264</v>
      </c>
      <c r="O20" s="30">
        <f t="shared" si="1"/>
        <v>0.3927221107297465</v>
      </c>
    </row>
    <row r="21" spans="2:15" x14ac:dyDescent="0.2">
      <c r="B21" s="3" t="s">
        <v>252</v>
      </c>
      <c r="C21" s="29">
        <f>'Historical Financial statements'!C42/'Historical Financial statements'!C87</f>
        <v>0.10252234122382155</v>
      </c>
      <c r="D21" s="29">
        <f>'Historical Financial statements'!D42/'Historical Financial statements'!D87</f>
        <v>0.11938096746459116</v>
      </c>
      <c r="E21" s="29">
        <f>'Historical Financial statements'!E42/'Historical Financial statements'!E87</f>
        <v>0.10107261428449817</v>
      </c>
      <c r="F21" s="29">
        <f>'Historical Financial statements'!F42/'Historical Financial statements'!F87</f>
        <v>4.5885684655578157E-2</v>
      </c>
      <c r="G21" s="29">
        <f>'Historical Financial statements'!G42/'Historical Financial statements'!G87</f>
        <v>7.0748332401261133E-2</v>
      </c>
      <c r="H21" s="29">
        <f>'Historical Financial statements'!H42/'Historical Financial statements'!H87</f>
        <v>6.1976384316663052E-2</v>
      </c>
      <c r="I21" s="29">
        <f>'Historical Financial statements'!I42/'Historical Financial statements'!I87</f>
        <v>3.5839995896673096E-2</v>
      </c>
      <c r="J21" s="29">
        <f>'Historical Financial statements'!J42/'Historical Financial statements'!J87</f>
        <v>4.3507246157226079E-2</v>
      </c>
      <c r="K21" s="29">
        <f>'Historical Financial statements'!K42/'Historical Financial statements'!K87</f>
        <v>1.2880865745070455E-2</v>
      </c>
      <c r="L21" s="29">
        <f>'Historical Financial statements'!L42/'Historical Financial statements'!L87</f>
        <v>5.5464359656906242E-2</v>
      </c>
      <c r="N21" s="30">
        <f t="shared" si="2"/>
        <v>6.4927879180228909E-2</v>
      </c>
      <c r="O21" s="30">
        <f t="shared" si="1"/>
        <v>5.8720371986784647E-2</v>
      </c>
    </row>
    <row r="22" spans="2:15" x14ac:dyDescent="0.2">
      <c r="B22" s="3" t="s">
        <v>118</v>
      </c>
      <c r="C22" s="31">
        <f>'Historical Financial statements'!C109/'Historical Financial statements'!C118</f>
        <v>8.8682281573847845</v>
      </c>
      <c r="D22" s="31">
        <f>'Historical Financial statements'!D109/'Historical Financial statements'!D118</f>
        <v>6.7366944814529139</v>
      </c>
      <c r="E22" s="31">
        <f>'Historical Financial statements'!E109/'Historical Financial statements'!E118</f>
        <v>5.4301216705031239</v>
      </c>
      <c r="F22" s="31">
        <f>'Historical Financial statements'!F109/'Historical Financial statements'!F118</f>
        <v>6.1178309554936625</v>
      </c>
      <c r="G22" s="31">
        <f>'Historical Financial statements'!G109/'Historical Financial statements'!G118</f>
        <v>6.3383149746948497</v>
      </c>
      <c r="H22" s="31">
        <f>'Historical Financial statements'!H109/'Historical Financial statements'!H118</f>
        <v>6.2953793004174461</v>
      </c>
      <c r="I22" s="31">
        <f>'Historical Financial statements'!I109/'Historical Financial statements'!I118</f>
        <v>6.5662475117735593</v>
      </c>
      <c r="J22" s="31">
        <f>'Historical Financial statements'!J109/'Historical Financial statements'!J118</f>
        <v>5.9787841913126289</v>
      </c>
      <c r="K22" s="31">
        <f>'Historical Financial statements'!K109/'Historical Financial statements'!K118</f>
        <v>4.7950236966824642</v>
      </c>
      <c r="L22" s="31">
        <f>'Historical Financial statements'!L109/'Historical Financial statements'!L118</f>
        <v>4.9980473950474842</v>
      </c>
      <c r="N22" s="31">
        <f t="shared" si="2"/>
        <v>6.2124672334762909</v>
      </c>
      <c r="O22" s="31">
        <f t="shared" si="1"/>
        <v>6.2066051279555543</v>
      </c>
    </row>
    <row r="23" spans="2:15" x14ac:dyDescent="0.2">
      <c r="B23" s="35" t="s">
        <v>119</v>
      </c>
      <c r="C23" s="40">
        <f>'Historical Financial statements'!C18/'Historical Financial statements'!C27</f>
        <v>36.756198347107436</v>
      </c>
      <c r="D23" s="40">
        <f>'Historical Financial statements'!D18/'Historical Financial statements'!D27</f>
        <v>32.068376068376068</v>
      </c>
      <c r="E23" s="40">
        <f>'Historical Financial statements'!E18/'Historical Financial statements'!E27</f>
        <v>18.925396825396824</v>
      </c>
      <c r="F23" s="40">
        <f>'Historical Financial statements'!F18/'Historical Financial statements'!F27</f>
        <v>18.980487804878049</v>
      </c>
      <c r="G23" s="40">
        <f>'Historical Financial statements'!G18/'Historical Financial statements'!G27</f>
        <v>16.863070539419088</v>
      </c>
      <c r="H23" s="40">
        <f>'Historical Financial statements'!H18/'Historical Financial statements'!H27</f>
        <v>5.1339285714285712</v>
      </c>
      <c r="I23" s="40">
        <f>'Historical Financial statements'!I18/'Historical Financial statements'!I27</f>
        <v>3.1381987577639752</v>
      </c>
      <c r="J23" s="40">
        <f>'Historical Financial statements'!J18/'Historical Financial statements'!J27</f>
        <v>5.4138528138528139</v>
      </c>
      <c r="K23" s="40">
        <f>'Historical Financial statements'!K18/'Historical Financial statements'!K27</f>
        <v>6.1776315789473681</v>
      </c>
      <c r="L23" s="40">
        <f>'Historical Financial statements'!L18/'Historical Financial statements'!L27</f>
        <v>5.3030491599253269</v>
      </c>
      <c r="M23" s="35"/>
      <c r="N23" s="40">
        <f t="shared" si="2"/>
        <v>14.876019046709555</v>
      </c>
      <c r="O23" s="40">
        <f t="shared" si="1"/>
        <v>11.520351059183227</v>
      </c>
    </row>
    <row r="24" spans="2:15" x14ac:dyDescent="0.2">
      <c r="C24" s="31"/>
      <c r="D24" s="31"/>
      <c r="E24" s="31"/>
      <c r="F24" s="31"/>
      <c r="G24" s="31"/>
      <c r="H24" s="31"/>
      <c r="I24" s="31"/>
      <c r="J24" s="31"/>
      <c r="K24" s="31"/>
      <c r="L24" s="31"/>
      <c r="N24" s="30"/>
      <c r="O24" s="30"/>
    </row>
    <row r="25" spans="2:15" x14ac:dyDescent="0.2">
      <c r="B25" s="33" t="s">
        <v>114</v>
      </c>
      <c r="C25" s="41">
        <f>'Historical Financial statements'!C71/'Historical Financial statements'!C99</f>
        <v>1.19696318940906</v>
      </c>
      <c r="D25" s="41">
        <f>'Historical Financial statements'!D71/'Historical Financial statements'!D99</f>
        <v>1.2402684563758388</v>
      </c>
      <c r="E25" s="41">
        <f>'Historical Financial statements'!E71/'Historical Financial statements'!E99</f>
        <v>1.2098966230186079</v>
      </c>
      <c r="F25" s="41">
        <f>'Historical Financial statements'!F71/'Historical Financial statements'!F99</f>
        <v>1.3311297272702942</v>
      </c>
      <c r="G25" s="41">
        <f>'Historical Financial statements'!G71/'Historical Financial statements'!G99</f>
        <v>1.2856096476312553</v>
      </c>
      <c r="H25" s="41">
        <f>'Historical Financial statements'!H71/'Historical Financial statements'!H99</f>
        <v>1.0190440825420402</v>
      </c>
      <c r="I25" s="41">
        <f>'Historical Financial statements'!I71/'Historical Financial statements'!I99</f>
        <v>0.98234217060874363</v>
      </c>
      <c r="J25" s="41">
        <f>'Historical Financial statements'!J71/'Historical Financial statements'!J99</f>
        <v>0.87864005473095574</v>
      </c>
      <c r="K25" s="41">
        <f>'Historical Financial statements'!K71/'Historical Financial statements'!K99</f>
        <v>0.924234248531979</v>
      </c>
      <c r="L25" s="41">
        <f>'Historical Financial statements'!L71/'Historical Financial statements'!L99</f>
        <v>0.96447935289118136</v>
      </c>
      <c r="M25" s="33"/>
      <c r="N25" s="41">
        <f t="shared" si="2"/>
        <v>1.1032607553009959</v>
      </c>
      <c r="O25" s="41">
        <f t="shared" si="1"/>
        <v>1.1080036359755501</v>
      </c>
    </row>
    <row r="26" spans="2:15" x14ac:dyDescent="0.2">
      <c r="B26" s="35" t="s">
        <v>115</v>
      </c>
      <c r="C26" s="40">
        <f>('Historical Financial statements'!C71-'Historical Financial statements'!C67)/'Historical Financial statements'!C99</f>
        <v>1.1438316363911978</v>
      </c>
      <c r="D26" s="40">
        <f>('Historical Financial statements'!D71-'Historical Financial statements'!D67)/'Historical Financial statements'!D99</f>
        <v>1.1950102130142983</v>
      </c>
      <c r="E26" s="40">
        <f>('Historical Financial statements'!E71-'Historical Financial statements'!E67)/'Historical Financial statements'!E99</f>
        <v>1.1670847691247415</v>
      </c>
      <c r="F26" s="40">
        <f>('Historical Financial statements'!F71-'Historical Financial statements'!F67)/'Historical Financial statements'!F99</f>
        <v>1.2887616090785001</v>
      </c>
      <c r="G26" s="40">
        <f>('Historical Financial statements'!G71-'Historical Financial statements'!G67)/'Historical Financial statements'!G99</f>
        <v>1.2416093337170062</v>
      </c>
      <c r="H26" s="40">
        <f>('Historical Financial statements'!H71-'Historical Financial statements'!H67)/'Historical Financial statements'!H99</f>
        <v>0.97610206355100526</v>
      </c>
      <c r="I26" s="40">
        <f>('Historical Financial statements'!I71-'Historical Financial statements'!I67)/'Historical Financial statements'!I99</f>
        <v>0.93689332564147587</v>
      </c>
      <c r="J26" s="40">
        <f>('Historical Financial statements'!J71-'Historical Financial statements'!J67)/'Historical Financial statements'!J99</f>
        <v>0.82959041018471702</v>
      </c>
      <c r="K26" s="40">
        <f>('Historical Financial statements'!K71-'Historical Financial statements'!K67)/'Historical Financial statements'!K99</f>
        <v>0.87497222663069352</v>
      </c>
      <c r="L26" s="40">
        <f>('Historical Financial statements'!L71-'Historical Financial statements'!L67)/'Historical Financial statements'!L99</f>
        <v>0.93045338647753584</v>
      </c>
      <c r="M26" s="35"/>
      <c r="N26" s="40">
        <f t="shared" si="2"/>
        <v>1.0584308973811174</v>
      </c>
      <c r="O26" s="40">
        <f t="shared" si="1"/>
        <v>1.0599668499711015</v>
      </c>
    </row>
    <row r="27" spans="2:15" x14ac:dyDescent="0.2">
      <c r="N27" s="31"/>
      <c r="O27" s="31"/>
    </row>
    <row r="28" spans="2:15" x14ac:dyDescent="0.2">
      <c r="B28" s="33" t="s">
        <v>241</v>
      </c>
      <c r="C28" s="41">
        <f>'Historical Financial statements'!C6/('Historical Financial statements'!C62+'Historical Financial statements'!C63+'Historical Financial statements'!C66)</f>
        <v>2.9151770286827308</v>
      </c>
      <c r="D28" s="41">
        <f>'Historical Financial statements'!D6/((('Historical Financial statements'!D62+'Historical Financial statements'!D63+'Historical Financial statements'!D66)+('Historical Financial statements'!C62+'Historical Financial statements'!C63+'Historical Financial statements'!C66))/2)</f>
        <v>2.7073610996108304</v>
      </c>
      <c r="E28" s="41">
        <f>'Historical Financial statements'!E6/((('Historical Financial statements'!E62+'Historical Financial statements'!E63+'Historical Financial statements'!E66)+('Historical Financial statements'!D62+'Historical Financial statements'!D63+'Historical Financial statements'!D66))/2)</f>
        <v>2.7770731622565457</v>
      </c>
      <c r="F28" s="41">
        <f>'Historical Financial statements'!F6/((('Historical Financial statements'!F62+'Historical Financial statements'!F63+'Historical Financial statements'!F66)+('Historical Financial statements'!E62+'Historical Financial statements'!E63+'Historical Financial statements'!E66))/2)</f>
        <v>2.6215817805383024</v>
      </c>
      <c r="G28" s="41">
        <f>'Historical Financial statements'!G6/((('Historical Financial statements'!G62+'Historical Financial statements'!G63+'Historical Financial statements'!G66)+('Historical Financial statements'!F62+'Historical Financial statements'!F63+'Historical Financial statements'!F66))/2)</f>
        <v>2.5794334975369457</v>
      </c>
      <c r="H28" s="41">
        <f>'Historical Financial statements'!H6/((('Historical Financial statements'!H62+'Historical Financial statements'!H63+'Historical Financial statements'!H66)+('Historical Financial statements'!G62+'Historical Financial statements'!G63+'Historical Financial statements'!G66))/2)</f>
        <v>2.1378326820143352</v>
      </c>
      <c r="I28" s="41">
        <f>'Historical Financial statements'!I6/((('Historical Financial statements'!I62+'Historical Financial statements'!I63+'Historical Financial statements'!I66)+('Historical Financial statements'!H62+'Historical Financial statements'!H63+'Historical Financial statements'!H66))/2)</f>
        <v>3.6617559227553254</v>
      </c>
      <c r="J28" s="41">
        <f>'Historical Financial statements'!J6/((('Historical Financial statements'!J62+'Historical Financial statements'!J63+'Historical Financial statements'!J66)+('Historical Financial statements'!I62+'Historical Financial statements'!I63+'Historical Financial statements'!I66))/2)</f>
        <v>8.0543501158626505</v>
      </c>
      <c r="K28" s="41">
        <f>'Historical Financial statements'!K6/((('Historical Financial statements'!K62+'Historical Financial statements'!K63+'Historical Financial statements'!K66)+('Historical Financial statements'!J62+'Historical Financial statements'!J63+'Historical Financial statements'!J66))/2)</f>
        <v>8.0097922456001065</v>
      </c>
      <c r="L28" s="41">
        <f>'Historical Financial statements'!L6/((('Historical Financial statements'!L62+'Historical Financial statements'!L63+'Historical Financial statements'!L66)+('Historical Financial statements'!K62+'Historical Financial statements'!K63+'Historical Financial statements'!K66))/2)</f>
        <v>8.1442959647159494</v>
      </c>
      <c r="M28" s="33"/>
      <c r="N28" s="41">
        <f t="shared" si="2"/>
        <v>4.360865349957372</v>
      </c>
      <c r="O28" s="41">
        <f t="shared" si="1"/>
        <v>2.8461250954696382</v>
      </c>
    </row>
    <row r="29" spans="2:15" x14ac:dyDescent="0.2">
      <c r="B29" s="3" t="s">
        <v>242</v>
      </c>
      <c r="C29" s="31">
        <f>'Historical Financial statements'!C9/'Historical Financial statements'!C93</f>
        <v>6.7578671328671325</v>
      </c>
      <c r="D29" s="31">
        <f>'Historical Financial statements'!D9/(('Historical Financial statements'!C93+'Historical Financial statements'!D93)/2)</f>
        <v>6.3693763574309648</v>
      </c>
      <c r="E29" s="31">
        <f>'Historical Financial statements'!E9/(('Historical Financial statements'!D93+'Historical Financial statements'!E93)/2)</f>
        <v>6.7666911824793656</v>
      </c>
      <c r="F29" s="31">
        <f>'Historical Financial statements'!F9/(('Historical Financial statements'!E93+'Historical Financial statements'!F93)/2)</f>
        <v>6.6660347551342811</v>
      </c>
      <c r="G29" s="31">
        <f>'Historical Financial statements'!G9/(('Historical Financial statements'!F93+'Historical Financial statements'!G93)/2)</f>
        <v>6.5576139595664538</v>
      </c>
      <c r="H29" s="31">
        <f>'Historical Financial statements'!H9/(('Historical Financial statements'!G93+'Historical Financial statements'!H93)/2)</f>
        <v>4.5713287934346081</v>
      </c>
      <c r="I29" s="31">
        <f>'Historical Financial statements'!I9/(('Historical Financial statements'!H93+'Historical Financial statements'!I93)/2)</f>
        <v>5.4460745884197559</v>
      </c>
      <c r="J29" s="31">
        <f>'Historical Financial statements'!J9/(('Historical Financial statements'!I93+'Historical Financial statements'!J93)/2)</f>
        <v>6.4759639459188785</v>
      </c>
      <c r="K29" s="31">
        <f>'Historical Financial statements'!K9/(('Historical Financial statements'!J93+'Historical Financial statements'!K93)/2)</f>
        <v>6.9552835373469897</v>
      </c>
      <c r="L29" s="31">
        <f>'Historical Financial statements'!L9/(('Historical Financial statements'!K93+'Historical Financial statements'!L93)/2)</f>
        <v>6.7359159232555301</v>
      </c>
      <c r="N29" s="31">
        <f t="shared" si="2"/>
        <v>6.3302150175853971</v>
      </c>
      <c r="O29" s="31">
        <f t="shared" si="1"/>
        <v>6.6118243573503674</v>
      </c>
    </row>
    <row r="30" spans="2:15" x14ac:dyDescent="0.2">
      <c r="B30" s="3" t="s">
        <v>122</v>
      </c>
      <c r="C30" s="31">
        <f>'Historical Financial statements'!C9/2206.5</f>
        <v>21.022433718558805</v>
      </c>
      <c r="D30" s="31">
        <f>'Historical Financial statements'!D9/(('Historical Financial statements'!C67+'Historical Financial statements'!D67)/2)</f>
        <v>22.472359058565957</v>
      </c>
      <c r="E30" s="31">
        <f>'Historical Financial statements'!E9/(('Historical Financial statements'!D67+'Historical Financial statements'!E67)/2)</f>
        <v>26.676546391752577</v>
      </c>
      <c r="F30" s="31">
        <f>'Historical Financial statements'!F9/(('Historical Financial statements'!E67+'Historical Financial statements'!F67)/2)</f>
        <v>26.910714285714285</v>
      </c>
      <c r="G30" s="31">
        <f>'Historical Financial statements'!G9/(('Historical Financial statements'!F67+'Historical Financial statements'!G67)/2)</f>
        <v>26.128024502297091</v>
      </c>
      <c r="H30" s="31">
        <f>'Historical Financial statements'!H9/(('Historical Financial statements'!G67+'Historical Financial statements'!H67)/2)</f>
        <v>15.86186004241139</v>
      </c>
      <c r="I30" s="31">
        <f>'Historical Financial statements'!I9/(('Historical Financial statements'!H67+'Historical Financial statements'!I67)/2)</f>
        <v>14.173127368114253</v>
      </c>
      <c r="J30" s="31">
        <f>'Historical Financial statements'!J9/(('Historical Financial statements'!I67+'Historical Financial statements'!J67)/2)</f>
        <v>14.946547240681884</v>
      </c>
      <c r="K30" s="31">
        <f>'Historical Financial statements'!K9/(('Historical Financial statements'!J67+'Historical Financial statements'!K67)/2)</f>
        <v>17.395813808184943</v>
      </c>
      <c r="L30" s="31">
        <f>'Historical Financial statements'!L9/(('Historical Financial statements'!K67+'Historical Financial statements'!L67)/2)</f>
        <v>20.316992259491339</v>
      </c>
      <c r="N30" s="31">
        <f t="shared" si="2"/>
        <v>20.590441867577255</v>
      </c>
      <c r="O30" s="31">
        <f t="shared" si="1"/>
        <v>20.669712989025072</v>
      </c>
    </row>
    <row r="31" spans="2:15" x14ac:dyDescent="0.2">
      <c r="B31" s="3" t="s">
        <v>243</v>
      </c>
      <c r="C31" s="31">
        <f>'Historical Financial statements'!C6/'Historical Financial statements'!C75</f>
        <v>8.6150775229783676</v>
      </c>
      <c r="D31" s="31">
        <f>'Historical Financial statements'!D6/'Historical Financial statements'!D75</f>
        <v>7.6202106833224574</v>
      </c>
      <c r="E31" s="31">
        <f>'Historical Financial statements'!E6/'Historical Financial statements'!E75</f>
        <v>7.379501385041551</v>
      </c>
      <c r="F31" s="31">
        <f>'Historical Financial statements'!F6/'Historical Financial statements'!F75</f>
        <v>7.119377473911479</v>
      </c>
      <c r="G31" s="31">
        <f>'Historical Financial statements'!G6/'Historical Financial statements'!G75</f>
        <v>7.375</v>
      </c>
      <c r="H31" s="31">
        <f>'Historical Financial statements'!H6/'Historical Financial statements'!H75</f>
        <v>5.7656343656343658</v>
      </c>
      <c r="I31" s="31">
        <f>'Historical Financial statements'!I6/'Historical Financial statements'!I75</f>
        <v>8.8926672038678483</v>
      </c>
      <c r="J31" s="31">
        <f>'Historical Financial statements'!J6/'Historical Financial statements'!J75</f>
        <v>10.07218124341412</v>
      </c>
      <c r="K31" s="31">
        <f>'Historical Financial statements'!K6/'Historical Financial statements'!K75</f>
        <v>11.347956505436821</v>
      </c>
      <c r="L31" s="31">
        <f>'Historical Financial statements'!L6/'Historical Financial statements'!L75</f>
        <v>11.245228140338121</v>
      </c>
      <c r="N31" s="31">
        <f t="shared" si="2"/>
        <v>8.5432834523945136</v>
      </c>
      <c r="O31" s="31">
        <f t="shared" si="1"/>
        <v>8.117644103150413</v>
      </c>
    </row>
    <row r="32" spans="2:15" x14ac:dyDescent="0.2">
      <c r="B32" s="35" t="s">
        <v>244</v>
      </c>
      <c r="C32" s="40">
        <f>'Historical Financial statements'!C6/'Historical Financial statements'!C118</f>
        <v>7.8180975650855169</v>
      </c>
      <c r="D32" s="40">
        <f>'Historical Financial statements'!D6/'Historical Financial statements'!D118</f>
        <v>5.7318561110721546</v>
      </c>
      <c r="E32" s="40">
        <f>'Historical Financial statements'!E6/'Historical Financial statements'!E118</f>
        <v>4.3801381124630057</v>
      </c>
      <c r="F32" s="40">
        <f>'Historical Financial statements'!F6/'Historical Financial statements'!F118</f>
        <v>4.4983231967259707</v>
      </c>
      <c r="G32" s="40">
        <f>'Historical Financial statements'!G6/'Historical Financial statements'!G118</f>
        <v>4.7389699315272402</v>
      </c>
      <c r="H32" s="40">
        <f>'Historical Financial statements'!H6/'Historical Financial statements'!H118</f>
        <v>2.7692529149273066</v>
      </c>
      <c r="I32" s="40">
        <f>'Historical Financial statements'!I6/'Historical Financial statements'!I118</f>
        <v>2.6789823760741855</v>
      </c>
      <c r="J32" s="40">
        <f>'Historical Financial statements'!J6/'Historical Financial statements'!J118</f>
        <v>3.0342839003227344</v>
      </c>
      <c r="K32" s="40">
        <f>'Historical Financial statements'!K6/'Historical Financial statements'!K118</f>
        <v>2.758384979948961</v>
      </c>
      <c r="L32" s="40">
        <f>'Historical Financial statements'!L6/'Historical Financial statements'!L118</f>
        <v>2.7451850536966362</v>
      </c>
      <c r="M32" s="35"/>
      <c r="N32" s="40">
        <f t="shared" si="2"/>
        <v>4.115347414184372</v>
      </c>
      <c r="O32" s="40">
        <f t="shared" si="1"/>
        <v>3.7072110063928703</v>
      </c>
    </row>
    <row r="33" spans="1:15" x14ac:dyDescent="0.2">
      <c r="N33" s="30"/>
      <c r="O33" s="30"/>
    </row>
    <row r="34" spans="1:15" x14ac:dyDescent="0.2">
      <c r="B34" s="33" t="s">
        <v>245</v>
      </c>
      <c r="C34" s="42">
        <f>365/C28</f>
        <v>125.20680439257271</v>
      </c>
      <c r="D34" s="42">
        <f t="shared" ref="D34:L34" si="3">365/D28</f>
        <v>134.81762741308017</v>
      </c>
      <c r="E34" s="42">
        <f t="shared" si="3"/>
        <v>131.43333958958959</v>
      </c>
      <c r="F34" s="42">
        <f t="shared" si="3"/>
        <v>139.22892000151631</v>
      </c>
      <c r="G34" s="42">
        <f t="shared" si="3"/>
        <v>141.50393888756267</v>
      </c>
      <c r="H34" s="42">
        <f t="shared" si="3"/>
        <v>170.73366081020203</v>
      </c>
      <c r="I34" s="42">
        <f t="shared" si="3"/>
        <v>99.678953949872238</v>
      </c>
      <c r="J34" s="42">
        <f t="shared" si="3"/>
        <v>45.317126118114764</v>
      </c>
      <c r="K34" s="42">
        <f t="shared" si="3"/>
        <v>45.569221873451177</v>
      </c>
      <c r="L34" s="42">
        <f t="shared" si="3"/>
        <v>44.816642418364054</v>
      </c>
      <c r="M34" s="33"/>
      <c r="N34" s="42">
        <f t="shared" si="2"/>
        <v>107.83062354543259</v>
      </c>
      <c r="O34" s="42">
        <f t="shared" si="1"/>
        <v>128.32007199108114</v>
      </c>
    </row>
    <row r="35" spans="1:15" x14ac:dyDescent="0.2">
      <c r="B35" s="3" t="s">
        <v>246</v>
      </c>
      <c r="C35" s="32">
        <f>365/C29</f>
        <v>54.01112404604838</v>
      </c>
      <c r="D35" s="32">
        <f t="shared" ref="D35:L35" si="4">365/D29</f>
        <v>57.305453394061914</v>
      </c>
      <c r="E35" s="32">
        <f t="shared" si="4"/>
        <v>53.940691270953096</v>
      </c>
      <c r="F35" s="32">
        <f t="shared" si="4"/>
        <v>54.755190065409046</v>
      </c>
      <c r="G35" s="32">
        <f t="shared" si="4"/>
        <v>55.660489051437146</v>
      </c>
      <c r="H35" s="32">
        <f t="shared" si="4"/>
        <v>79.845492742551571</v>
      </c>
      <c r="I35" s="32">
        <f t="shared" si="4"/>
        <v>67.020749362507203</v>
      </c>
      <c r="J35" s="32">
        <f t="shared" si="4"/>
        <v>56.362265609897541</v>
      </c>
      <c r="K35" s="32">
        <f t="shared" si="4"/>
        <v>52.478090654407012</v>
      </c>
      <c r="L35" s="32">
        <f t="shared" si="4"/>
        <v>54.187137155297528</v>
      </c>
      <c r="N35" s="32">
        <f t="shared" si="2"/>
        <v>58.556668335257044</v>
      </c>
      <c r="O35" s="32">
        <f t="shared" si="1"/>
        <v>55.207839558423096</v>
      </c>
    </row>
    <row r="36" spans="1:15" x14ac:dyDescent="0.2">
      <c r="B36" s="3" t="s">
        <v>247</v>
      </c>
      <c r="C36" s="32">
        <f>365/C30</f>
        <v>17.362404604837664</v>
      </c>
      <c r="D36" s="32">
        <f t="shared" ref="D36:L36" si="5">365/D30</f>
        <v>16.242175512092942</v>
      </c>
      <c r="E36" s="32">
        <f t="shared" si="5"/>
        <v>13.682430800444424</v>
      </c>
      <c r="F36" s="32">
        <f t="shared" si="5"/>
        <v>13.56337093563371</v>
      </c>
      <c r="G36" s="32">
        <f t="shared" si="5"/>
        <v>13.969674590894172</v>
      </c>
      <c r="H36" s="32">
        <f t="shared" si="5"/>
        <v>23.011172650878535</v>
      </c>
      <c r="I36" s="32">
        <f t="shared" si="5"/>
        <v>25.752961256889034</v>
      </c>
      <c r="J36" s="32">
        <f t="shared" si="5"/>
        <v>24.420355693021456</v>
      </c>
      <c r="K36" s="32">
        <f t="shared" si="5"/>
        <v>20.982059478485741</v>
      </c>
      <c r="L36" s="32">
        <f t="shared" si="5"/>
        <v>17.96525761973875</v>
      </c>
      <c r="N36" s="32">
        <f t="shared" si="2"/>
        <v>18.695186314291647</v>
      </c>
      <c r="O36" s="32">
        <f t="shared" si="1"/>
        <v>17.663831112288207</v>
      </c>
    </row>
    <row r="37" spans="1:15" x14ac:dyDescent="0.2">
      <c r="B37" s="35" t="s">
        <v>251</v>
      </c>
      <c r="C37" s="43">
        <f>(C34+C36)-C35</f>
        <v>88.558084951362005</v>
      </c>
      <c r="D37" s="43">
        <f t="shared" ref="D37:L37" si="6">(D34+D36)-D35</f>
        <v>93.754349531111217</v>
      </c>
      <c r="E37" s="43">
        <f t="shared" si="6"/>
        <v>91.17507911908092</v>
      </c>
      <c r="F37" s="43">
        <f t="shared" si="6"/>
        <v>98.037100871740989</v>
      </c>
      <c r="G37" s="43">
        <f t="shared" si="6"/>
        <v>99.813124427019716</v>
      </c>
      <c r="H37" s="43">
        <f t="shared" si="6"/>
        <v>113.89934071852899</v>
      </c>
      <c r="I37" s="43">
        <f t="shared" si="6"/>
        <v>58.411165844254072</v>
      </c>
      <c r="J37" s="43">
        <f t="shared" si="6"/>
        <v>13.375216201238679</v>
      </c>
      <c r="K37" s="43">
        <f t="shared" si="6"/>
        <v>14.07319069752991</v>
      </c>
      <c r="L37" s="43">
        <f t="shared" si="6"/>
        <v>8.5947628828052771</v>
      </c>
      <c r="M37" s="35"/>
      <c r="N37" s="43">
        <f t="shared" si="2"/>
        <v>67.969141524467176</v>
      </c>
      <c r="O37" s="43">
        <f t="shared" si="1"/>
        <v>89.866582035221455</v>
      </c>
    </row>
    <row r="38" spans="1:15" x14ac:dyDescent="0.2">
      <c r="N38" s="30"/>
      <c r="O38" s="30"/>
    </row>
    <row r="39" spans="1:15" x14ac:dyDescent="0.2">
      <c r="B39" s="33" t="s">
        <v>248</v>
      </c>
      <c r="C39" s="34">
        <f>'Historical Financial statements'!C144/'Historical Financial statements'!C6</f>
        <v>0.1818025066545968</v>
      </c>
      <c r="D39" s="34">
        <f>'Historical Financial statements'!D144/'Historical Financial statements'!D6</f>
        <v>0.21111546084020455</v>
      </c>
      <c r="E39" s="34">
        <f>'Historical Financial statements'!E144/'Historical Financial statements'!E6</f>
        <v>0.21377627627627627</v>
      </c>
      <c r="F39" s="34">
        <f>'Historical Financial statements'!F144/'Historical Financial statements'!F6</f>
        <v>0.21131174263005598</v>
      </c>
      <c r="G39" s="34">
        <f>'Historical Financial statements'!G144/'Historical Financial statements'!G6</f>
        <v>0.19159201417245669</v>
      </c>
      <c r="H39" s="34">
        <f>'Historical Financial statements'!H144/'Historical Financial statements'!H6</f>
        <v>0.25595176213743631</v>
      </c>
      <c r="I39" s="34">
        <f>'Historical Financial statements'!I144/'Historical Financial statements'!I6</f>
        <v>0.32979938019898875</v>
      </c>
      <c r="J39" s="34">
        <f>'Historical Financial statements'!J144/'Historical Financial statements'!J6</f>
        <v>0.22311729525204443</v>
      </c>
      <c r="K39" s="34">
        <f>'Historical Financial statements'!K144/'Historical Financial statements'!K6</f>
        <v>0.17239385428713036</v>
      </c>
      <c r="L39" s="34">
        <f>'Historical Financial statements'!L144/'Historical Financial statements'!L6</f>
        <v>0.22518590365341093</v>
      </c>
      <c r="M39" s="33"/>
      <c r="N39" s="38">
        <f t="shared" si="2"/>
        <v>0.22160461961026007</v>
      </c>
      <c r="O39" s="38">
        <f t="shared" si="1"/>
        <v>0.21254400945316612</v>
      </c>
    </row>
    <row r="40" spans="1:15" x14ac:dyDescent="0.2">
      <c r="B40" s="3" t="s">
        <v>249</v>
      </c>
      <c r="C40" s="29">
        <f>'Historical Financial statements'!C144/'Historical Financial statements'!C87</f>
        <v>0.14385360529367625</v>
      </c>
      <c r="D40" s="29">
        <f>'Historical Financial statements'!D144/'Historical Financial statements'!D87</f>
        <v>0.15617901262500566</v>
      </c>
      <c r="E40" s="29">
        <f>'Historical Financial statements'!E144/'Historical Financial statements'!E87</f>
        <v>0.14544138929088277</v>
      </c>
      <c r="F40" s="29">
        <f>'Historical Financial statements'!F144/'Historical Financial statements'!F87</f>
        <v>0.13340512943241195</v>
      </c>
      <c r="G40" s="29">
        <f>'Historical Financial statements'!G144/'Historical Financial statements'!G87</f>
        <v>0.12359277360371532</v>
      </c>
      <c r="H40" s="29">
        <f>'Historical Financial statements'!H144/'Historical Financial statements'!H87</f>
        <v>9.7064795284748373E-2</v>
      </c>
      <c r="I40" s="29">
        <f>'Historical Financial statements'!I144/'Historical Financial statements'!I87</f>
        <v>0.11667553583679018</v>
      </c>
      <c r="J40" s="29">
        <f>'Historical Financial statements'!J144/'Historical Financial statements'!J87</f>
        <v>9.693865955560943E-2</v>
      </c>
      <c r="K40" s="29">
        <f>'Historical Financial statements'!K144/'Historical Financial statements'!K87</f>
        <v>8.2008440542898228E-2</v>
      </c>
      <c r="L40" s="29">
        <f>'Historical Financial statements'!L144/'Historical Financial statements'!L87</f>
        <v>0.10300207039337474</v>
      </c>
      <c r="N40" s="30">
        <f t="shared" si="2"/>
        <v>0.11981614118591129</v>
      </c>
      <c r="O40" s="30">
        <f t="shared" si="1"/>
        <v>0.12013415472025274</v>
      </c>
    </row>
    <row r="41" spans="1:15" x14ac:dyDescent="0.2">
      <c r="B41" s="35" t="s">
        <v>250</v>
      </c>
      <c r="C41" s="37">
        <f>'Historical Financial statements'!C144/('Historical Financial statements'!C92+'Historical Financial statements'!C101)</f>
        <v>0.41427238347821815</v>
      </c>
      <c r="D41" s="37">
        <f>'Historical Financial statements'!D144/('Historical Financial statements'!D92+'Historical Financial statements'!D101)</f>
        <v>0.43262553586201707</v>
      </c>
      <c r="E41" s="37">
        <f>'Historical Financial statements'!E144/('Historical Financial statements'!E92+'Historical Financial statements'!E101)</f>
        <v>0.40516505406943654</v>
      </c>
      <c r="F41" s="37">
        <f>'Historical Financial statements'!F144/('Historical Financial statements'!F92+'Historical Financial statements'!F101)</f>
        <v>0.35714590808132579</v>
      </c>
      <c r="G41" s="37">
        <f>'Historical Financial statements'!G144/('Historical Financial statements'!G92+'Historical Financial statements'!G101)</f>
        <v>0.33286038592508516</v>
      </c>
      <c r="H41" s="37">
        <f>'Historical Financial statements'!H144/('Historical Financial statements'!H92+'Historical Financial statements'!H101)</f>
        <v>0.23485270036089603</v>
      </c>
      <c r="I41" s="37">
        <f>'Historical Financial statements'!I144/('Historical Financial statements'!I92+'Historical Financial statements'!I101)</f>
        <v>0.29670813428333848</v>
      </c>
      <c r="J41" s="37">
        <f>'Historical Financial statements'!J144/('Historical Financial statements'!J92+'Historical Financial statements'!J101)</f>
        <v>0.24748568776110166</v>
      </c>
      <c r="K41" s="37">
        <f>'Historical Financial statements'!K144/('Historical Financial statements'!K92+'Historical Financial statements'!K101)</f>
        <v>0.20481265579304794</v>
      </c>
      <c r="L41" s="37">
        <f>'Historical Financial statements'!L144/('Historical Financial statements'!L92+'Historical Financial statements'!L101)</f>
        <v>0.24634374944736237</v>
      </c>
      <c r="M41" s="35"/>
      <c r="N41" s="39">
        <f t="shared" si="2"/>
        <v>0.31722721950618288</v>
      </c>
      <c r="O41" s="39">
        <f t="shared" si="1"/>
        <v>0.31478426010421179</v>
      </c>
    </row>
    <row r="42" spans="1:15" x14ac:dyDescent="0.2">
      <c r="A42" s="3" t="s">
        <v>182</v>
      </c>
    </row>
  </sheetData>
  <mergeCells count="1">
    <mergeCell ref="B2:O2"/>
  </mergeCells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manualMax="0" manualMin="0" displayEmptyCellsAs="gap">
          <x14:colorSeries theme="3" tint="-0.499984740745262"/>
          <x14:colorNegative rgb="FFD00000"/>
          <x14:colorAxis rgb="FF000000"/>
          <x14:colorMarkers theme="4" tint="-0.249977111117893"/>
          <x14:colorFirst rgb="FFD00000"/>
          <x14:colorLast rgb="FFD00000"/>
          <x14:colorHigh rgb="FFD00000"/>
          <x14:colorLow rgb="FFD00000"/>
          <x14:sparklines>
            <x14:sparkline>
              <xm:f>'Ratio Analysis'!C11:L11</xm:f>
              <xm:sqref>M11</xm:sqref>
            </x14:sparkline>
            <x14:sparkline>
              <xm:f>'Ratio Analysis'!C12:L12</xm:f>
              <xm:sqref>M12</xm:sqref>
            </x14:sparkline>
            <x14:sparkline>
              <xm:f>'Ratio Analysis'!C13:L13</xm:f>
              <xm:sqref>M13</xm:sqref>
            </x14:sparkline>
            <x14:sparkline>
              <xm:f>'Ratio Analysis'!C14:L14</xm:f>
              <xm:sqref>M14</xm:sqref>
            </x14:sparkline>
            <x14:sparkline>
              <xm:f>'Ratio Analysis'!C15:L15</xm:f>
              <xm:sqref>M15</xm:sqref>
            </x14:sparkline>
            <x14:sparkline>
              <xm:f>'Ratio Analysis'!C16:L16</xm:f>
              <xm:sqref>M16</xm:sqref>
            </x14:sparkline>
            <x14:sparkline>
              <xm:f>'Ratio Analysis'!C17:L17</xm:f>
              <xm:sqref>M17</xm:sqref>
            </x14:sparkline>
            <x14:sparkline>
              <xm:f>'Ratio Analysis'!C18:L18</xm:f>
              <xm:sqref>M18</xm:sqref>
            </x14:sparkline>
            <x14:sparkline>
              <xm:f>'Ratio Analysis'!C19:L19</xm:f>
              <xm:sqref>M19</xm:sqref>
            </x14:sparkline>
            <x14:sparkline>
              <xm:f>'Ratio Analysis'!C20:L20</xm:f>
              <xm:sqref>M20</xm:sqref>
            </x14:sparkline>
            <x14:sparkline>
              <xm:f>'Ratio Analysis'!C21:L21</xm:f>
              <xm:sqref>M21</xm:sqref>
            </x14:sparkline>
            <x14:sparkline>
              <xm:f>'Ratio Analysis'!C22:L22</xm:f>
              <xm:sqref>M22</xm:sqref>
            </x14:sparkline>
            <x14:sparkline>
              <xm:f>'Ratio Analysis'!C23:L23</xm:f>
              <xm:sqref>M23</xm:sqref>
            </x14:sparkline>
            <x14:sparkline>
              <xm:f>'Ratio Analysis'!C24:L24</xm:f>
              <xm:sqref>M24</xm:sqref>
            </x14:sparkline>
            <x14:sparkline>
              <xm:f>'Ratio Analysis'!C25:L25</xm:f>
              <xm:sqref>M25</xm:sqref>
            </x14:sparkline>
            <x14:sparkline>
              <xm:f>'Ratio Analysis'!C26:L26</xm:f>
              <xm:sqref>M26</xm:sqref>
            </x14:sparkline>
            <x14:sparkline>
              <xm:f>'Ratio Analysis'!C27:L27</xm:f>
              <xm:sqref>M27</xm:sqref>
            </x14:sparkline>
            <x14:sparkline>
              <xm:f>'Ratio Analysis'!C28:L28</xm:f>
              <xm:sqref>M28</xm:sqref>
            </x14:sparkline>
            <x14:sparkline>
              <xm:f>'Ratio Analysis'!C29:L29</xm:f>
              <xm:sqref>M29</xm:sqref>
            </x14:sparkline>
            <x14:sparkline>
              <xm:f>'Ratio Analysis'!C30:L30</xm:f>
              <xm:sqref>M30</xm:sqref>
            </x14:sparkline>
            <x14:sparkline>
              <xm:f>'Ratio Analysis'!C31:L31</xm:f>
              <xm:sqref>M31</xm:sqref>
            </x14:sparkline>
            <x14:sparkline>
              <xm:f>'Ratio Analysis'!C32:L32</xm:f>
              <xm:sqref>M32</xm:sqref>
            </x14:sparkline>
            <x14:sparkline>
              <xm:f>'Ratio Analysis'!C33:L33</xm:f>
              <xm:sqref>M33</xm:sqref>
            </x14:sparkline>
            <x14:sparkline>
              <xm:f>'Ratio Analysis'!C34:L34</xm:f>
              <xm:sqref>M34</xm:sqref>
            </x14:sparkline>
            <x14:sparkline>
              <xm:f>'Ratio Analysis'!C35:L35</xm:f>
              <xm:sqref>M35</xm:sqref>
            </x14:sparkline>
            <x14:sparkline>
              <xm:f>'Ratio Analysis'!C36:L36</xm:f>
              <xm:sqref>M36</xm:sqref>
            </x14:sparkline>
            <x14:sparkline>
              <xm:f>'Ratio Analysis'!C37:L37</xm:f>
              <xm:sqref>M37</xm:sqref>
            </x14:sparkline>
            <x14:sparkline>
              <xm:f>'Ratio Analysis'!C38:L38</xm:f>
              <xm:sqref>M38</xm:sqref>
            </x14:sparkline>
            <x14:sparkline>
              <xm:f>'Ratio Analysis'!C39:L39</xm:f>
              <xm:sqref>M39</xm:sqref>
            </x14:sparkline>
            <x14:sparkline>
              <xm:f>'Ratio Analysis'!C40:L40</xm:f>
              <xm:sqref>M40</xm:sqref>
            </x14:sparkline>
            <x14:sparkline>
              <xm:f>'Ratio Analysis'!C41:L41</xm:f>
              <xm:sqref>M41</xm:sqref>
            </x14:sparkline>
          </x14:sparklines>
        </x14:sparklineGroup>
        <x14:sparklineGroup manualMax="0" manualMin="0" displayEmptyCellsAs="gap">
          <x14:colorSeries theme="3" tint="-0.499984740745262"/>
          <x14:colorNegative rgb="FFD00000"/>
          <x14:colorAxis rgb="FF000000"/>
          <x14:colorMarkers theme="4" tint="-0.249977111117893"/>
          <x14:colorFirst rgb="FFD00000"/>
          <x14:colorLast rgb="FFD00000"/>
          <x14:colorHigh rgb="FFD00000"/>
          <x14:colorLow rgb="FFD00000"/>
          <x14:sparklines>
            <x14:sparkline>
              <xm:f>'Ratio Analysis'!D5:L5</xm:f>
              <xm:sqref>M5</xm:sqref>
            </x14:sparkline>
            <x14:sparkline>
              <xm:f>'Ratio Analysis'!D6:L6</xm:f>
              <xm:sqref>M6</xm:sqref>
            </x14:sparkline>
            <x14:sparkline>
              <xm:f>'Ratio Analysis'!D7:L7</xm:f>
              <xm:sqref>M7</xm:sqref>
            </x14:sparkline>
            <x14:sparkline>
              <xm:f>'Ratio Analysis'!D8:L8</xm:f>
              <xm:sqref>M8</xm:sqref>
            </x14:sparkline>
            <x14:sparkline>
              <xm:f>'Ratio Analysis'!D9:L9</xm:f>
              <xm:sqref>M9</xm:sqref>
            </x14:sparkline>
          </x14:sparklines>
        </x14:sparklineGroup>
      </x14:sparklineGroup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77"/>
  <sheetViews>
    <sheetView showGridLines="0" zoomScaleNormal="100" workbookViewId="0">
      <pane ySplit="3" topLeftCell="A4" activePane="bottomLeft" state="frozen"/>
      <selection pane="bottomLeft"/>
    </sheetView>
  </sheetViews>
  <sheetFormatPr defaultRowHeight="15" x14ac:dyDescent="0.2"/>
  <cols>
    <col min="1" max="1" width="3" style="3" customWidth="1"/>
    <col min="2" max="2" width="66" style="3" customWidth="1"/>
    <col min="3" max="11" width="15.1640625" style="10" customWidth="1"/>
    <col min="12" max="12" width="14.33203125" style="10" customWidth="1"/>
    <col min="13" max="17" width="18" style="3" customWidth="1"/>
    <col min="18" max="16384" width="9.33203125" style="3"/>
  </cols>
  <sheetData>
    <row r="2" spans="1:12" ht="23.25" customHeight="1" x14ac:dyDescent="0.2">
      <c r="B2" s="337" t="s">
        <v>315</v>
      </c>
      <c r="C2" s="337"/>
      <c r="D2" s="337"/>
      <c r="E2" s="337"/>
      <c r="F2" s="337"/>
      <c r="G2" s="337"/>
      <c r="H2" s="337"/>
      <c r="I2" s="337"/>
      <c r="J2" s="337"/>
      <c r="K2" s="337"/>
      <c r="L2" s="337"/>
    </row>
    <row r="3" spans="1:12" x14ac:dyDescent="0.2">
      <c r="B3" s="22"/>
      <c r="C3" s="134">
        <v>2014</v>
      </c>
      <c r="D3" s="134">
        <v>2015</v>
      </c>
      <c r="E3" s="134">
        <v>2016</v>
      </c>
      <c r="F3" s="134">
        <v>2017</v>
      </c>
      <c r="G3" s="134">
        <v>2018</v>
      </c>
      <c r="H3" s="134">
        <v>2019</v>
      </c>
      <c r="I3" s="134">
        <v>2020</v>
      </c>
      <c r="J3" s="134">
        <v>2021</v>
      </c>
      <c r="K3" s="134">
        <v>2022</v>
      </c>
      <c r="L3" s="134">
        <v>2023</v>
      </c>
    </row>
    <row r="4" spans="1:12" x14ac:dyDescent="0.2">
      <c r="B4" s="192"/>
      <c r="C4" s="193"/>
      <c r="D4" s="193"/>
      <c r="E4" s="193"/>
      <c r="F4" s="193"/>
      <c r="G4" s="193"/>
      <c r="H4" s="193"/>
      <c r="I4" s="193"/>
      <c r="J4" s="193"/>
      <c r="K4" s="193"/>
      <c r="L4" s="193"/>
    </row>
    <row r="5" spans="1:12" ht="15.75" x14ac:dyDescent="0.2">
      <c r="A5" s="3" t="s">
        <v>182</v>
      </c>
      <c r="B5" s="155" t="s">
        <v>138</v>
      </c>
      <c r="C5" s="194"/>
      <c r="D5" s="194"/>
      <c r="E5" s="194"/>
      <c r="F5" s="194"/>
      <c r="G5" s="194"/>
      <c r="H5" s="194"/>
      <c r="I5" s="194"/>
      <c r="J5" s="194"/>
      <c r="K5" s="194"/>
      <c r="L5" s="194"/>
    </row>
    <row r="6" spans="1:12" x14ac:dyDescent="0.2">
      <c r="B6" s="195" t="s">
        <v>258</v>
      </c>
    </row>
    <row r="7" spans="1:12" x14ac:dyDescent="0.2">
      <c r="B7" s="196" t="s">
        <v>259</v>
      </c>
      <c r="C7" s="29">
        <f>'Income statement'!B4/'Income statement'!B$7</f>
        <v>0.59996982531009879</v>
      </c>
      <c r="D7" s="29">
        <f>'Income statement'!C4/'Income statement'!C$7</f>
        <v>0.61059186220058237</v>
      </c>
      <c r="E7" s="29">
        <f>'Income statement'!D4/'Income statement'!D$7</f>
        <v>0.64149149149149154</v>
      </c>
      <c r="F7" s="29">
        <f>'Income statement'!E4/'Income statement'!E$7</f>
        <v>0.61476642363436484</v>
      </c>
      <c r="G7" s="29">
        <f>'Income statement'!F4/'Income statement'!F$7</f>
        <v>0.61887650613762868</v>
      </c>
      <c r="H7" s="29">
        <f>'Income statement'!G4/'Income statement'!G$7</f>
        <v>0.50492081643968534</v>
      </c>
      <c r="I7" s="29">
        <f>'Income statement'!H4/'Income statement'!H$7</f>
        <v>0.50066148353540296</v>
      </c>
      <c r="J7" s="29">
        <f>'Income statement'!I4/'Income statement'!I$7</f>
        <v>0.50958134993286952</v>
      </c>
      <c r="K7" s="29">
        <f>'Income statement'!J4/'Income statement'!J$7</f>
        <v>0.49902527672228647</v>
      </c>
      <c r="L7" s="29">
        <f>'Income statement'!K4/'Income statement'!K$7</f>
        <v>0.49107662463627544</v>
      </c>
    </row>
    <row r="8" spans="1:12" x14ac:dyDescent="0.2">
      <c r="B8" s="196" t="s">
        <v>260</v>
      </c>
      <c r="C8" s="29">
        <f>'Income statement'!B5/'Income statement'!B$7</f>
        <v>0.37786255428750015</v>
      </c>
      <c r="D8" s="29">
        <f>'Income statement'!C5/'Income statement'!C$7</f>
        <v>0.36660468302708521</v>
      </c>
      <c r="E8" s="29">
        <f>'Income statement'!D5/'Income statement'!D$7</f>
        <v>0.33711211211211212</v>
      </c>
      <c r="F8" s="29">
        <f>'Income statement'!E5/'Income statement'!E$7</f>
        <v>0.36356284512061054</v>
      </c>
      <c r="G8" s="29">
        <f>'Income statement'!F5/'Income statement'!F$7</f>
        <v>0.36103328265758694</v>
      </c>
      <c r="H8" s="29">
        <f>'Income statement'!G5/'Income statement'!G$7</f>
        <v>0.47400977232560559</v>
      </c>
      <c r="I8" s="29">
        <f>'Income statement'!H5/'Income statement'!H$7</f>
        <v>0.48150564526359668</v>
      </c>
      <c r="J8" s="29">
        <f>'Income statement'!I5/'Income statement'!I$7</f>
        <v>0.47681818974385798</v>
      </c>
      <c r="K8" s="29">
        <f>'Income statement'!J5/'Income statement'!J$7</f>
        <v>0.49021972575582357</v>
      </c>
      <c r="L8" s="29">
        <f>'Income statement'!K5/'Income statement'!K$7</f>
        <v>0.49700937601034595</v>
      </c>
    </row>
    <row r="9" spans="1:12" x14ac:dyDescent="0.2">
      <c r="B9" s="196" t="s">
        <v>261</v>
      </c>
      <c r="C9" s="29">
        <f>'Income statement'!B6/'Income statement'!B$7</f>
        <v>2.2167620402401042E-2</v>
      </c>
      <c r="D9" s="29">
        <f>'Income statement'!C6/'Income statement'!C$7</f>
        <v>2.2803454772332459E-2</v>
      </c>
      <c r="E9" s="29">
        <f>'Income statement'!D6/'Income statement'!D$7</f>
        <v>2.1396396396396396E-2</v>
      </c>
      <c r="F9" s="29">
        <f>'Income statement'!E6/'Income statement'!E$7</f>
        <v>2.1670731245024576E-2</v>
      </c>
      <c r="G9" s="29">
        <f>'Income statement'!F6/'Income statement'!F$7</f>
        <v>2.009021120478446E-2</v>
      </c>
      <c r="H9" s="29">
        <f>'Income statement'!G6/'Income statement'!G$7</f>
        <v>2.1069411234709082E-2</v>
      </c>
      <c r="I9" s="29">
        <f>'Income statement'!H6/'Income statement'!H$7</f>
        <v>1.783287120100038E-2</v>
      </c>
      <c r="J9" s="29">
        <f>'Income statement'!I6/'Income statement'!I$7</f>
        <v>1.360046032327248E-2</v>
      </c>
      <c r="K9" s="29">
        <f>'Income statement'!J6/'Income statement'!J$7</f>
        <v>1.0754997521889973E-2</v>
      </c>
      <c r="L9" s="29">
        <f>'Income statement'!K6/'Income statement'!K$7</f>
        <v>1.1913999353378597E-2</v>
      </c>
    </row>
    <row r="10" spans="1:12" x14ac:dyDescent="0.2">
      <c r="B10" s="200" t="s">
        <v>262</v>
      </c>
      <c r="C10" s="201">
        <f>'Income statement'!B7/'Income statement'!B$7</f>
        <v>1</v>
      </c>
      <c r="D10" s="201">
        <f>'Income statement'!C7/'Income statement'!C$7</f>
        <v>1</v>
      </c>
      <c r="E10" s="201">
        <f>'Income statement'!D7/'Income statement'!D$7</f>
        <v>1</v>
      </c>
      <c r="F10" s="201">
        <f>'Income statement'!E7/'Income statement'!E$7</f>
        <v>1</v>
      </c>
      <c r="G10" s="201">
        <f>'Income statement'!F7/'Income statement'!F$7</f>
        <v>1</v>
      </c>
      <c r="H10" s="201">
        <f>'Income statement'!G7/'Income statement'!G$7</f>
        <v>1</v>
      </c>
      <c r="I10" s="201">
        <f>'Income statement'!H7/'Income statement'!H$7</f>
        <v>1</v>
      </c>
      <c r="J10" s="201">
        <f>'Income statement'!I7/'Income statement'!I$7</f>
        <v>1</v>
      </c>
      <c r="K10" s="201">
        <f>'Income statement'!J7/'Income statement'!J$7</f>
        <v>1</v>
      </c>
      <c r="L10" s="201">
        <f>'Income statement'!K7/'Income statement'!K$7</f>
        <v>1</v>
      </c>
    </row>
    <row r="11" spans="1:12" x14ac:dyDescent="0.2">
      <c r="B11" s="195" t="s">
        <v>263</v>
      </c>
      <c r="C11" s="29"/>
      <c r="D11" s="29"/>
      <c r="E11" s="29"/>
      <c r="F11" s="29"/>
      <c r="G11" s="29"/>
      <c r="H11" s="29"/>
      <c r="I11" s="29"/>
      <c r="J11" s="29"/>
      <c r="K11" s="29"/>
      <c r="L11" s="29"/>
    </row>
    <row r="12" spans="1:12" x14ac:dyDescent="0.2">
      <c r="B12" s="196" t="s">
        <v>259</v>
      </c>
      <c r="C12" s="29">
        <f>'Income statement'!B9/'Income statement'!B$7</f>
        <v>0.38832670567823002</v>
      </c>
      <c r="D12" s="29">
        <f>'Income statement'!C9/'Income statement'!C$7</f>
        <v>0.40525066673191262</v>
      </c>
      <c r="E12" s="29">
        <f>'Income statement'!D9/'Income statement'!D$7</f>
        <v>0.4228228228228228</v>
      </c>
      <c r="F12" s="29">
        <f>'Income statement'!E9/'Income statement'!E$7</f>
        <v>0.42202959350004421</v>
      </c>
      <c r="G12" s="29">
        <f>'Income statement'!F9/'Income statement'!F$7</f>
        <v>0.42325137264263546</v>
      </c>
      <c r="H12" s="29">
        <f>'Income statement'!G9/'Income statement'!G$7</f>
        <v>0.32936549190837577</v>
      </c>
      <c r="I12" s="29">
        <f>'Income statement'!H9/'Income statement'!H$7</f>
        <v>0.32057485637652006</v>
      </c>
      <c r="J12" s="29">
        <f>'Income statement'!I9/'Income statement'!I$7</f>
        <v>0.3338564279611515</v>
      </c>
      <c r="K12" s="29">
        <f>'Income statement'!J9/'Income statement'!J$7</f>
        <v>0.34795968941020983</v>
      </c>
      <c r="L12" s="29">
        <f>'Income statement'!K9/'Income statement'!K$7</f>
        <v>0.34030067895247335</v>
      </c>
    </row>
    <row r="13" spans="1:12" x14ac:dyDescent="0.2">
      <c r="B13" s="196" t="s">
        <v>260</v>
      </c>
      <c r="C13" s="29">
        <f>'Income statement'!B10/'Income statement'!B$7</f>
        <v>0.1003523972713459</v>
      </c>
      <c r="D13" s="29">
        <f>'Income statement'!C10/'Income statement'!C$7</f>
        <v>8.4656602480976728E-2</v>
      </c>
      <c r="E13" s="29">
        <f>'Income statement'!D10/'Income statement'!D$7</f>
        <v>8.2157157157157157E-2</v>
      </c>
      <c r="F13" s="29">
        <f>'Income statement'!E10/'Income statement'!E$7</f>
        <v>9.5869293268805514E-2</v>
      </c>
      <c r="G13" s="29">
        <f>'Income statement'!F10/'Income statement'!F$7</f>
        <v>9.8440778479978897E-2</v>
      </c>
      <c r="H13" s="29">
        <f>'Income statement'!G10/'Income statement'!G$7</f>
        <v>0.11205253491353917</v>
      </c>
      <c r="I13" s="29">
        <f>'Income statement'!H10/'Income statement'!H$7</f>
        <v>0.10960691567444136</v>
      </c>
      <c r="J13" s="29">
        <f>'Income statement'!I10/'Income statement'!I$7</f>
        <v>0.10782723928091925</v>
      </c>
      <c r="K13" s="29">
        <f>'Income statement'!J10/'Income statement'!J$7</f>
        <v>0.10530315546010242</v>
      </c>
      <c r="L13" s="29">
        <f>'Income statement'!K10/'Income statement'!K$7</f>
        <v>9.904623343032655E-2</v>
      </c>
    </row>
    <row r="14" spans="1:12" x14ac:dyDescent="0.2">
      <c r="B14" s="196" t="s">
        <v>261</v>
      </c>
      <c r="C14" s="29">
        <f>'Income statement'!B11/'Income statement'!B$7</f>
        <v>1.1207741963294646E-2</v>
      </c>
      <c r="D14" s="29">
        <f>'Income statement'!C11/'Income statement'!C$7</f>
        <v>1.2368182819113798E-2</v>
      </c>
      <c r="E14" s="29">
        <f>'Income statement'!D11/'Income statement'!D$7</f>
        <v>1.3063063063063063E-2</v>
      </c>
      <c r="F14" s="29">
        <f>'Income statement'!E11/'Income statement'!E$7</f>
        <v>1.5289553823020255E-2</v>
      </c>
      <c r="G14" s="29">
        <f>'Income statement'!F11/'Income statement'!F$7</f>
        <v>1.422271362339963E-2</v>
      </c>
      <c r="H14" s="29">
        <f>'Income statement'!G11/'Income statement'!G$7</f>
        <v>1.2198080188515785E-2</v>
      </c>
      <c r="I14" s="29">
        <f>'Income statement'!H11/'Income statement'!H$7</f>
        <v>1.0456876710342703E-2</v>
      </c>
      <c r="J14" s="29">
        <f>'Income statement'!I11/'Income statement'!I$7</f>
        <v>9.311084375163467E-3</v>
      </c>
      <c r="K14" s="29">
        <f>'Income statement'!J11/'Income statement'!J$7</f>
        <v>6.7074178093507351E-3</v>
      </c>
      <c r="L14" s="29">
        <f>'Income statement'!K11/'Income statement'!K$7</f>
        <v>6.1752344002586482E-3</v>
      </c>
    </row>
    <row r="15" spans="1:12" x14ac:dyDescent="0.2">
      <c r="B15" s="195" t="s">
        <v>264</v>
      </c>
      <c r="C15" s="130">
        <f>'Income statement'!B12/'Income statement'!B$7</f>
        <v>0.49988684491287061</v>
      </c>
      <c r="D15" s="130">
        <f>'Income statement'!C12/'Income statement'!C$7</f>
        <v>0.50227545203200308</v>
      </c>
      <c r="E15" s="130">
        <f>'Income statement'!D12/'Income statement'!D$7</f>
        <v>0.51804304304304305</v>
      </c>
      <c r="F15" s="130">
        <f>'Income statement'!E12/'Income statement'!E$7</f>
        <v>0.53318844059186998</v>
      </c>
      <c r="G15" s="130">
        <f>'Income statement'!F12/'Income statement'!F$7</f>
        <v>0.53591486474601402</v>
      </c>
      <c r="H15" s="130">
        <f>'Income statement'!G12/'Income statement'!G$7</f>
        <v>0.45361610701043076</v>
      </c>
      <c r="I15" s="130">
        <f>'Income statement'!H12/'Income statement'!H$7</f>
        <v>0.4406386487613041</v>
      </c>
      <c r="J15" s="130">
        <f>'Income statement'!I12/'Income statement'!I$7</f>
        <v>0.45099475161723424</v>
      </c>
      <c r="K15" s="130">
        <f>'Income statement'!J12/'Income statement'!J$7</f>
        <v>0.45997026267966296</v>
      </c>
      <c r="L15" s="130">
        <f>'Income statement'!K12/'Income statement'!K$7</f>
        <v>0.44552214678305851</v>
      </c>
    </row>
    <row r="16" spans="1:12" x14ac:dyDescent="0.2">
      <c r="B16" s="200" t="s">
        <v>265</v>
      </c>
      <c r="C16" s="201">
        <f>'Income statement'!B13/'Income statement'!B$7</f>
        <v>0.50011315508712939</v>
      </c>
      <c r="D16" s="201">
        <f>'Income statement'!C13/'Income statement'!C$7</f>
        <v>0.49772454796799687</v>
      </c>
      <c r="E16" s="201">
        <f>'Income statement'!D13/'Income statement'!D$7</f>
        <v>0.48195695695695695</v>
      </c>
      <c r="F16" s="201">
        <f>'Income statement'!E13/'Income statement'!E$7</f>
        <v>0.46681155940813002</v>
      </c>
      <c r="G16" s="201">
        <f>'Income statement'!F13/'Income statement'!F$7</f>
        <v>0.46408513525398598</v>
      </c>
      <c r="H16" s="201">
        <f>'Income statement'!G13/'Income statement'!G$7</f>
        <v>0.54638389298956924</v>
      </c>
      <c r="I16" s="201">
        <f>'Income statement'!H13/'Income statement'!H$7</f>
        <v>0.5593613512386959</v>
      </c>
      <c r="J16" s="201">
        <f>'Income statement'!I13/'Income statement'!I$7</f>
        <v>0.54900524838276576</v>
      </c>
      <c r="K16" s="201">
        <f>'Income statement'!J13/'Income statement'!J$7</f>
        <v>0.54002973732033699</v>
      </c>
      <c r="L16" s="201">
        <f>'Income statement'!K13/'Income statement'!K$7</f>
        <v>0.55447785321694143</v>
      </c>
    </row>
    <row r="17" spans="2:12" x14ac:dyDescent="0.2">
      <c r="B17" s="195" t="s">
        <v>266</v>
      </c>
      <c r="C17" s="29"/>
      <c r="D17" s="29"/>
      <c r="E17" s="29"/>
      <c r="F17" s="29"/>
      <c r="G17" s="29"/>
      <c r="H17" s="29"/>
      <c r="I17" s="29"/>
      <c r="J17" s="29"/>
      <c r="K17" s="29"/>
      <c r="L17" s="29"/>
    </row>
    <row r="18" spans="2:12" x14ac:dyDescent="0.2">
      <c r="B18" s="196" t="s">
        <v>267</v>
      </c>
      <c r="C18" s="29">
        <f>'Income statement'!B15/'Income statement'!B$7</f>
        <v>0.24980332568189412</v>
      </c>
      <c r="D18" s="29">
        <f>'Income statement'!C15/'Income statement'!C$7</f>
        <v>0.24993271512808593</v>
      </c>
      <c r="E18" s="29">
        <f>'Income statement'!D15/'Income statement'!D$7</f>
        <v>0.26112362362362362</v>
      </c>
      <c r="F18" s="29">
        <f>'Income statement'!E15/'Income statement'!E$7</f>
        <v>0.24867637953474267</v>
      </c>
      <c r="G18" s="29">
        <f>'Income statement'!F15/'Income statement'!F$7</f>
        <v>0.24331896822505056</v>
      </c>
      <c r="H18" s="29">
        <f>'Income statement'!G15/'Income statement'!G$7</f>
        <v>0.32442734865024087</v>
      </c>
      <c r="I18" s="29">
        <f>'Income statement'!H15/'Income statement'!H$7</f>
        <v>0.37262364305261059</v>
      </c>
      <c r="J18" s="29">
        <f>'Income statement'!I15/'Income statement'!I$7</f>
        <v>0.32684695994838797</v>
      </c>
      <c r="K18" s="29">
        <f>'Income statement'!J15/'Income statement'!J$7</f>
        <v>0.30743433008425575</v>
      </c>
      <c r="L18" s="29">
        <f>'Income statement'!K15/'Income statement'!K$7</f>
        <v>0.30719366311024893</v>
      </c>
    </row>
    <row r="19" spans="2:12" x14ac:dyDescent="0.2">
      <c r="B19" s="196" t="s">
        <v>268</v>
      </c>
      <c r="C19" s="29">
        <f>'Income statement'!B16/'Income statement'!B$7</f>
        <v>5.8592781783108637E-2</v>
      </c>
      <c r="D19" s="29">
        <f>'Income statement'!C16/'Income statement'!C$7</f>
        <v>6.4189767806023826E-2</v>
      </c>
      <c r="E19" s="29">
        <f>'Income statement'!D16/'Income statement'!D$7</f>
        <v>7.1646646646646647E-2</v>
      </c>
      <c r="F19" s="29">
        <f>'Income statement'!E16/'Income statement'!E$7</f>
        <v>7.0635211463374564E-2</v>
      </c>
      <c r="G19" s="29">
        <f>'Income statement'!F16/'Income statement'!F$7</f>
        <v>6.7583018180447541E-2</v>
      </c>
      <c r="H19" s="29">
        <f>'Income statement'!G16/'Income statement'!G$7</f>
        <v>0.10240149703711404</v>
      </c>
      <c r="I19" s="29">
        <f>'Income statement'!H16/'Income statement'!H$7</f>
        <v>0.11348520270392722</v>
      </c>
      <c r="J19" s="29">
        <f>'Income statement'!I16/'Income statement'!I$7</f>
        <v>0.11312793150947673</v>
      </c>
      <c r="K19" s="29">
        <f>'Income statement'!J16/'Income statement'!J$7</f>
        <v>0.10849165702957211</v>
      </c>
      <c r="L19" s="29">
        <f>'Income statement'!K16/'Income statement'!K$7</f>
        <v>0.10952150016165535</v>
      </c>
    </row>
    <row r="20" spans="2:12" x14ac:dyDescent="0.2">
      <c r="B20" s="195" t="s">
        <v>77</v>
      </c>
      <c r="C20" s="130">
        <f>'Income statement'!B17/'Income statement'!B$7</f>
        <v>0.30839610746500273</v>
      </c>
      <c r="D20" s="130">
        <f>'Income statement'!C17/'Income statement'!C$7</f>
        <v>0.31412248293410977</v>
      </c>
      <c r="E20" s="130">
        <f>'Income statement'!D17/'Income statement'!D$7</f>
        <v>0.33277027027027029</v>
      </c>
      <c r="F20" s="130">
        <f>'Income statement'!E17/'Income statement'!E$7</f>
        <v>0.31931159099811723</v>
      </c>
      <c r="G20" s="130">
        <f>'Income statement'!F17/'Income statement'!F$7</f>
        <v>0.3109019864054981</v>
      </c>
      <c r="H20" s="130">
        <f>'Income statement'!G17/'Income statement'!G$7</f>
        <v>0.42682884568735491</v>
      </c>
      <c r="I20" s="130">
        <f>'Income statement'!H17/'Income statement'!H$7</f>
        <v>0.48610884575653779</v>
      </c>
      <c r="J20" s="130">
        <f>'Income statement'!I17/'Income statement'!I$7</f>
        <v>0.43997489145786473</v>
      </c>
      <c r="K20" s="130">
        <f>'Income statement'!J17/'Income statement'!J$7</f>
        <v>0.41592598711382783</v>
      </c>
      <c r="L20" s="130">
        <f>'Income statement'!K17/'Income statement'!K$7</f>
        <v>0.41671516327190428</v>
      </c>
    </row>
    <row r="21" spans="2:12" x14ac:dyDescent="0.2">
      <c r="B21" s="200" t="s">
        <v>76</v>
      </c>
      <c r="C21" s="201">
        <f>'Income statement'!B18/'Income statement'!B$7</f>
        <v>0.19171704762212666</v>
      </c>
      <c r="D21" s="201">
        <f>'Income statement'!C18/'Income statement'!C$7</f>
        <v>0.1836020650338871</v>
      </c>
      <c r="E21" s="201">
        <f>'Income statement'!D18/'Income statement'!D$7</f>
        <v>0.14918668668668669</v>
      </c>
      <c r="F21" s="201">
        <f>'Income statement'!E18/'Income statement'!E$7</f>
        <v>0.14749996841001276</v>
      </c>
      <c r="G21" s="201">
        <f>'Income statement'!F18/'Income statement'!F$7</f>
        <v>0.15318314884848788</v>
      </c>
      <c r="H21" s="201">
        <f>'Income statement'!G18/'Income statement'!G$7</f>
        <v>0.11955504730221436</v>
      </c>
      <c r="I21" s="201">
        <f>'Income statement'!H18/'Income statement'!H$7</f>
        <v>7.3252505482158073E-2</v>
      </c>
      <c r="J21" s="201">
        <f>'Income statement'!I18/'Income statement'!I$7</f>
        <v>0.10903035692490105</v>
      </c>
      <c r="K21" s="201">
        <f>'Income statement'!J18/'Income statement'!J$7</f>
        <v>0.12410375020650917</v>
      </c>
      <c r="L21" s="201">
        <f>'Income statement'!K18/'Income statement'!K$7</f>
        <v>0.13776268994503718</v>
      </c>
    </row>
    <row r="22" spans="2:12" x14ac:dyDescent="0.2">
      <c r="B22" s="196" t="s">
        <v>269</v>
      </c>
      <c r="C22" s="29">
        <f>'Income statement'!B19/'Income statement'!B$7</f>
        <v>-7.9962928238121404E-3</v>
      </c>
      <c r="D22" s="29">
        <f>'Income statement'!C19/'Income statement'!C$7</f>
        <v>-8.3433241173448171E-3</v>
      </c>
      <c r="E22" s="29">
        <f>'Income statement'!D19/'Income statement'!D$7</f>
        <v>-2.0407907907907908E-2</v>
      </c>
      <c r="F22" s="29">
        <f>'Income statement'!E19/'Income statement'!E$7</f>
        <v>-1.8524368516155118E-2</v>
      </c>
      <c r="G22" s="29">
        <f>'Income statement'!F19/'Income statement'!F$7</f>
        <v>-1.289090475053712E-2</v>
      </c>
      <c r="H22" s="29">
        <f>'Income statement'!G19/'Income statement'!G$7</f>
        <v>-1.1071836989292027E-2</v>
      </c>
      <c r="I22" s="29">
        <f>'Income statement'!H19/'Income statement'!H$7</f>
        <v>-1.123615868355715E-2</v>
      </c>
      <c r="J22" s="29">
        <f>'Income statement'!I19/'Income statement'!I$7</f>
        <v>-1.0671130407490716E-2</v>
      </c>
      <c r="K22" s="29">
        <f>'Income statement'!J19/'Income statement'!J$7</f>
        <v>-1.0953246324136792E-2</v>
      </c>
      <c r="L22" s="29">
        <f>'Income statement'!K19/'Income statement'!K$7</f>
        <v>-1.3902360168121564E-2</v>
      </c>
    </row>
    <row r="23" spans="2:12" x14ac:dyDescent="0.2">
      <c r="B23" s="196" t="s">
        <v>270</v>
      </c>
      <c r="C23" s="29">
        <f>'Income statement'!B20/'Income statement'!B$7</f>
        <v>-2.0885196081600981E-2</v>
      </c>
      <c r="D23" s="29">
        <f>'Income statement'!C20/'Income statement'!C$7</f>
        <v>-8.8571358665068146E-3</v>
      </c>
      <c r="E23" s="29">
        <f>'Income statement'!D20/'Income statement'!D$7</f>
        <v>7.4199199199199203E-3</v>
      </c>
      <c r="F23" s="29">
        <f>'Income statement'!E20/'Income statement'!E$7</f>
        <v>1.421549425694032E-2</v>
      </c>
      <c r="G23" s="29">
        <f>'Income statement'!F20/'Income statement'!F$7</f>
        <v>1.4473998316392556E-2</v>
      </c>
      <c r="H23" s="29">
        <f>'Income statement'!G20/'Income statement'!G$7</f>
        <v>-1.7534740270991441E-2</v>
      </c>
      <c r="I23" s="29">
        <f>'Income statement'!H20/'Income statement'!H$7</f>
        <v>1.4534514942278766E-2</v>
      </c>
      <c r="J23" s="29">
        <f>'Income statement'!I20/'Income statement'!I$7</f>
        <v>1.5222053669508814E-2</v>
      </c>
      <c r="K23" s="29">
        <f>'Income statement'!J20/'Income statement'!J$7</f>
        <v>9.5869816619857925E-2</v>
      </c>
      <c r="L23" s="29">
        <f>'Income statement'!K20/'Income statement'!K$7</f>
        <v>-1.4775299062398965E-2</v>
      </c>
    </row>
    <row r="24" spans="2:12" x14ac:dyDescent="0.2">
      <c r="B24" s="196" t="s">
        <v>271</v>
      </c>
      <c r="C24" s="29">
        <f>'Income statement'!B21/'Income statement'!B$7</f>
        <v>5.2159106829178922E-3</v>
      </c>
      <c r="D24" s="29">
        <f>'Income statement'!C21/'Income statement'!C$7</f>
        <v>5.7253309192336864E-3</v>
      </c>
      <c r="E24" s="29">
        <f>'Income statement'!D21/'Income statement'!D$7</f>
        <v>7.8828828828828822E-3</v>
      </c>
      <c r="F24" s="29">
        <f>'Income statement'!E21/'Income statement'!E$7</f>
        <v>7.7711368604607084E-3</v>
      </c>
      <c r="G24" s="29">
        <f>'Income statement'!F21/'Income statement'!F$7</f>
        <v>9.083941651694287E-3</v>
      </c>
      <c r="H24" s="29">
        <f>'Income statement'!G21/'Income statement'!G$7</f>
        <v>2.3287243996257406E-2</v>
      </c>
      <c r="I24" s="29">
        <f>'Income statement'!H21/'Income statement'!H$7</f>
        <v>2.3342213523260661E-2</v>
      </c>
      <c r="J24" s="29">
        <f>'Income statement'!I21/'Income statement'!I$7</f>
        <v>2.0139143170999633E-2</v>
      </c>
      <c r="K24" s="29">
        <f>'Income statement'!J21/'Income statement'!J$7</f>
        <v>2.0089211961011069E-2</v>
      </c>
      <c r="L24" s="29">
        <f>'Income statement'!K21/'Income statement'!K$7</f>
        <v>2.5978014872292274E-2</v>
      </c>
    </row>
    <row r="25" spans="2:12" x14ac:dyDescent="0.2">
      <c r="B25" s="195" t="s">
        <v>272</v>
      </c>
      <c r="C25" s="130">
        <f>'Income statement'!B22/'Income statement'!B$7</f>
        <v>0.28473052924250752</v>
      </c>
      <c r="D25" s="130">
        <f>'Income statement'!C22/'Income statement'!C$7</f>
        <v>0.30264735386949182</v>
      </c>
      <c r="E25" s="130">
        <f>'Income statement'!D22/'Income statement'!D$7</f>
        <v>0.32766516516516514</v>
      </c>
      <c r="F25" s="130">
        <f>'Income statement'!E22/'Income statement'!E$7</f>
        <v>0.32277385359936317</v>
      </c>
      <c r="G25" s="130">
        <f>'Income statement'!F22/'Income statement'!F$7</f>
        <v>0.32156902162304785</v>
      </c>
      <c r="H25" s="130">
        <f>'Income statement'!G22/'Income statement'!G$7</f>
        <v>0.42150951242332885</v>
      </c>
      <c r="I25" s="130">
        <f>'Income statement'!H22/'Income statement'!H$7</f>
        <v>0.51274941553852005</v>
      </c>
      <c r="J25" s="130">
        <f>'Income statement'!I22/'Income statement'!I$7</f>
        <v>0.46466495789088247</v>
      </c>
      <c r="K25" s="130">
        <f>'Income statement'!J22/'Income statement'!J$7</f>
        <v>0.52093176937056007</v>
      </c>
      <c r="L25" s="130">
        <f>'Income statement'!K22/'Income statement'!K$7</f>
        <v>0.41401551891367605</v>
      </c>
    </row>
    <row r="26" spans="2:12" x14ac:dyDescent="0.2">
      <c r="B26" s="200" t="s">
        <v>273</v>
      </c>
      <c r="C26" s="201">
        <f>'Income statement'!B23/'Income statement'!B$7</f>
        <v>0.21538262584462189</v>
      </c>
      <c r="D26" s="201">
        <f>'Income statement'!C23/'Income statement'!C$7</f>
        <v>0.19507719409850505</v>
      </c>
      <c r="E26" s="201">
        <f>'Income statement'!D23/'Income statement'!D$7</f>
        <v>0.15429179179179178</v>
      </c>
      <c r="F26" s="201">
        <f>'Income statement'!E23/'Income statement'!E$7</f>
        <v>0.14403770580876685</v>
      </c>
      <c r="G26" s="201">
        <f>'Income statement'!F23/'Income statement'!F$7</f>
        <v>0.14251611363093816</v>
      </c>
      <c r="H26" s="201">
        <f>'Income statement'!G23/'Income statement'!G$7</f>
        <v>0.12487438056624042</v>
      </c>
      <c r="I26" s="201">
        <f>'Income statement'!H23/'Income statement'!H$7</f>
        <v>4.6611935700175793E-2</v>
      </c>
      <c r="J26" s="201">
        <f>'Income statement'!I23/'Income statement'!I$7</f>
        <v>8.434029049188331E-2</v>
      </c>
      <c r="K26" s="201">
        <f>'Income statement'!J23/'Income statement'!J$7</f>
        <v>1.9097967949776969E-2</v>
      </c>
      <c r="L26" s="201">
        <f>'Income statement'!K23/'Income statement'!K$7</f>
        <v>0.14046233430326543</v>
      </c>
    </row>
    <row r="27" spans="2:12" x14ac:dyDescent="0.2">
      <c r="B27" s="197" t="s">
        <v>274</v>
      </c>
      <c r="C27" s="29">
        <f>'Income statement'!B24/'Income statement'!B$7</f>
        <v>4.5628441800566855E-2</v>
      </c>
      <c r="D27" s="29">
        <f>'Income statement'!C24/'Income statement'!C$7</f>
        <v>3.1574955347312278E-2</v>
      </c>
      <c r="E27" s="29">
        <f>'Income statement'!D24/'Income statement'!D$7</f>
        <v>5.6181181181181178E-3</v>
      </c>
      <c r="F27" s="29">
        <f>'Income statement'!E24/'Income statement'!E$7</f>
        <v>7.1292283197917583E-2</v>
      </c>
      <c r="G27" s="29">
        <f>'Income statement'!F24/'Income statement'!F$7</f>
        <v>3.2905730547423705E-2</v>
      </c>
      <c r="H27" s="29">
        <f>'Income statement'!G24/'Income statement'!G$7</f>
        <v>1.0396091069757771E-3</v>
      </c>
      <c r="I27" s="29">
        <f>'Income statement'!H24/'Income statement'!H$7</f>
        <v>-2.46470577574802E-2</v>
      </c>
      <c r="J27" s="29">
        <f>'Income statement'!I24/'Income statement'!I$7</f>
        <v>2.1621244616484457E-3</v>
      </c>
      <c r="K27" s="29">
        <f>'Income statement'!J24/'Income statement'!J$7</f>
        <v>-1.0341979183875765E-2</v>
      </c>
      <c r="L27" s="29">
        <f>'Income statement'!K24/'Income statement'!K$7</f>
        <v>1.9010669253152278E-2</v>
      </c>
    </row>
    <row r="28" spans="2:12" x14ac:dyDescent="0.2">
      <c r="B28" s="195" t="s">
        <v>275</v>
      </c>
      <c r="C28" s="130">
        <f>'Income statement'!B25/'Income statement'!B$7</f>
        <v>0.16975418404405504</v>
      </c>
      <c r="D28" s="130">
        <f>'Income statement'!C25/'Income statement'!C$7</f>
        <v>0.16350223875119277</v>
      </c>
      <c r="E28" s="130">
        <f>'Income statement'!D25/'Income statement'!D$7</f>
        <v>0.14867367367367368</v>
      </c>
      <c r="F28" s="130">
        <f>'Income statement'!E25/'Income statement'!E$7</f>
        <v>7.2745422610849264E-2</v>
      </c>
      <c r="G28" s="130">
        <f>'Income statement'!F25/'Income statement'!F$7</f>
        <v>0.10961038308351446</v>
      </c>
      <c r="H28" s="130">
        <f>'Income statement'!G25/'Income statement'!G$7</f>
        <v>0.12383477145926465</v>
      </c>
      <c r="I28" s="130">
        <f>'Income statement'!H25/'Income statement'!H$7</f>
        <v>7.1258993457655989E-2</v>
      </c>
      <c r="J28" s="130">
        <f>'Income statement'!I25/'Income statement'!I$7</f>
        <v>8.2178166030234867E-2</v>
      </c>
      <c r="K28" s="130">
        <f>'Income statement'!J25/'Income statement'!J$7</f>
        <v>2.9439947133652736E-2</v>
      </c>
      <c r="L28" s="130">
        <f>'Income statement'!K25/'Income statement'!K$7</f>
        <v>0.12145166505011316</v>
      </c>
    </row>
    <row r="29" spans="2:12" x14ac:dyDescent="0.2">
      <c r="B29" s="197" t="s">
        <v>276</v>
      </c>
      <c r="C29" s="29">
        <f>'Income statement'!B26/'Income statement'!B$7</f>
        <v>-4.0186220943390125E-2</v>
      </c>
      <c r="D29" s="29">
        <f>'Income statement'!C26/'Income statement'!C$7</f>
        <v>-2.1286486750997039E-3</v>
      </c>
      <c r="E29" s="29">
        <f>'Income statement'!D26/'Income statement'!D$7</f>
        <v>-1.1261261261261261E-4</v>
      </c>
      <c r="F29" s="29">
        <f>'Income statement'!E26/'Income statement'!E$7</f>
        <v>-6.3179974475290309E-5</v>
      </c>
      <c r="G29" s="29">
        <f>'Income statement'!F26/'Income statement'!F$7</f>
        <v>6.2821173248231584E-5</v>
      </c>
      <c r="H29" s="29">
        <f>'Income statement'!G26/'Income statement'!G$7</f>
        <v>3.9591780157327512E-2</v>
      </c>
      <c r="I29" s="29">
        <f>'Income statement'!H26/'Income statement'!H$7</f>
        <v>3.0047663060222187E-2</v>
      </c>
      <c r="J29" s="29">
        <f>'Income statement'!I26/'Income statement'!I$7</f>
        <v>1.795958222175725E-2</v>
      </c>
      <c r="K29" s="29">
        <f>'Income statement'!J26/'Income statement'!J$7</f>
        <v>-2.3624648934412688E-3</v>
      </c>
      <c r="L29" s="29">
        <f>'Income statement'!K26/'Income statement'!K$7</f>
        <v>-1.9398642095053346E-4</v>
      </c>
    </row>
    <row r="30" spans="2:12" ht="15.75" thickBot="1" x14ac:dyDescent="0.25">
      <c r="B30" s="202" t="s">
        <v>277</v>
      </c>
      <c r="C30" s="203">
        <f>'Income statement'!B27/'Income statement'!B$7</f>
        <v>0.12956796310066493</v>
      </c>
      <c r="D30" s="203">
        <f>'Income statement'!C27/'Income statement'!C$7</f>
        <v>0.16137359007609306</v>
      </c>
      <c r="E30" s="203">
        <f>'Income statement'!D27/'Income statement'!D$7</f>
        <v>0.14856106106106107</v>
      </c>
      <c r="F30" s="203">
        <f>'Income statement'!E27/'Income statement'!E$7</f>
        <v>7.2682242636373975E-2</v>
      </c>
      <c r="G30" s="203">
        <f>'Income statement'!F27/'Income statement'!F$7</f>
        <v>0.1096732042567627</v>
      </c>
      <c r="H30" s="203">
        <f>'Income statement'!G27/'Income statement'!G$7</f>
        <v>0.16342655161659217</v>
      </c>
      <c r="I30" s="203">
        <f>'Income statement'!H27/'Income statement'!H$7</f>
        <v>0.10130665651787818</v>
      </c>
      <c r="J30" s="203">
        <f>'Income statement'!I27/'Income statement'!I$7</f>
        <v>0.10013774825199212</v>
      </c>
      <c r="K30" s="203">
        <f>'Income statement'!J27/'Income statement'!J$7</f>
        <v>2.7077482240211465E-2</v>
      </c>
      <c r="L30" s="203">
        <f>'Income statement'!K27/'Income statement'!K$7</f>
        <v>0.12125767862916262</v>
      </c>
    </row>
    <row r="31" spans="2:12" ht="15.75" thickTop="1" x14ac:dyDescent="0.2">
      <c r="B31" s="15"/>
      <c r="C31" s="130"/>
      <c r="D31" s="130"/>
      <c r="E31" s="130"/>
      <c r="F31" s="130"/>
      <c r="G31" s="130"/>
      <c r="H31" s="130"/>
      <c r="I31" s="130"/>
      <c r="J31" s="130"/>
      <c r="K31" s="130"/>
      <c r="L31" s="130"/>
    </row>
    <row r="32" spans="2:12" x14ac:dyDescent="0.2">
      <c r="B32" s="15"/>
      <c r="C32" s="130"/>
      <c r="D32" s="130"/>
      <c r="E32" s="130"/>
      <c r="F32" s="130"/>
      <c r="G32" s="130"/>
      <c r="H32" s="130"/>
      <c r="I32" s="130"/>
      <c r="J32" s="130"/>
      <c r="K32" s="130"/>
      <c r="L32" s="130"/>
    </row>
    <row r="33" spans="1:12" ht="15.75" x14ac:dyDescent="0.2">
      <c r="A33" s="3" t="s">
        <v>182</v>
      </c>
      <c r="B33" s="155" t="s">
        <v>137</v>
      </c>
      <c r="C33" s="194"/>
      <c r="D33" s="194"/>
      <c r="E33" s="194"/>
      <c r="F33" s="194"/>
      <c r="G33" s="194"/>
      <c r="H33" s="194"/>
      <c r="I33" s="194"/>
      <c r="J33" s="194"/>
      <c r="K33" s="194"/>
      <c r="L33" s="194"/>
    </row>
    <row r="34" spans="1:12" x14ac:dyDescent="0.2">
      <c r="B34" s="195" t="s">
        <v>83</v>
      </c>
      <c r="C34" s="130">
        <f>'Comprehensive Income statement'!B3/'Comprehensive Income statement'!B$24</f>
        <v>2.0909565217391304</v>
      </c>
      <c r="D34" s="130">
        <f>'Comprehensive Income statement'!C3/'Comprehensive Income statement'!C$24</f>
        <v>1.1510471204188482</v>
      </c>
      <c r="E34" s="130">
        <f>'Comprehensive Income statement'!D3/'Comprehensive Income statement'!D$24</f>
        <v>0.98270153948021854</v>
      </c>
      <c r="F34" s="130">
        <f>'Comprehensive Income statement'!E3/'Comprehensive Income statement'!E$24</f>
        <v>0.67211965412479546</v>
      </c>
      <c r="G34" s="130">
        <f>'Comprehensive Income statement'!F3/'Comprehensive Income statement'!F$24</f>
        <v>1.0578041686863791</v>
      </c>
      <c r="H34" s="130">
        <f>'Comprehensive Income statement'!G3/'Comprehensive Income statement'!G$24</f>
        <v>0.91351089588377721</v>
      </c>
      <c r="I34" s="130">
        <f>'Comprehensive Income statement'!H3/'Comprehensive Income statement'!H$24</f>
        <v>1.1525773195876288</v>
      </c>
      <c r="J34" s="130">
        <f>'Comprehensive Income statement'!I3/'Comprehensive Income statement'!I$24</f>
        <v>0.54271404271404267</v>
      </c>
      <c r="K34" s="130">
        <f>'Comprehensive Income statement'!J3/'Comprehensive Income statement'!J$24</f>
        <v>0.20152465264969877</v>
      </c>
      <c r="L34" s="130">
        <f>'Comprehensive Income statement'!K3/'Comprehensive Income statement'!K$24</f>
        <v>1.3687956204379561</v>
      </c>
    </row>
    <row r="35" spans="1:12" x14ac:dyDescent="0.2">
      <c r="B35" s="195" t="s">
        <v>286</v>
      </c>
      <c r="C35" s="29"/>
      <c r="D35" s="29"/>
      <c r="E35" s="29"/>
      <c r="F35" s="29"/>
      <c r="G35" s="29"/>
      <c r="H35" s="29"/>
      <c r="I35" s="29"/>
      <c r="J35" s="29"/>
      <c r="K35" s="29"/>
      <c r="L35" s="29"/>
    </row>
    <row r="36" spans="1:12" x14ac:dyDescent="0.2">
      <c r="B36" s="198" t="s">
        <v>287</v>
      </c>
      <c r="C36" s="130">
        <f>'Comprehensive Income statement'!B5/'Comprehensive Income statement'!B$24</f>
        <v>-0.28452173913043477</v>
      </c>
      <c r="D36" s="130">
        <f>'Comprehensive Income statement'!C5/'Comprehensive Income statement'!C$24</f>
        <v>-0.12050610820244329</v>
      </c>
      <c r="E36" s="130">
        <f>'Comprehensive Income statement'!D5/'Comprehensive Income statement'!D$24</f>
        <v>-1.6553550736633008E-3</v>
      </c>
      <c r="F36" s="130">
        <f>'Comprehensive Income statement'!E5/'Comprehensive Income statement'!E$24</f>
        <v>1.7761159149333957E-2</v>
      </c>
      <c r="G36" s="130">
        <f>'Comprehensive Income statement'!F5/'Comprehensive Income statement'!F$24</f>
        <v>-8.858458555501697E-2</v>
      </c>
      <c r="H36" s="130">
        <f>'Comprehensive Income statement'!G5/'Comprehensive Income statement'!G$24</f>
        <v>-3.87409200968523E-3</v>
      </c>
      <c r="I36" s="130">
        <f>'Comprehensive Income statement'!H5/'Comprehensive Income statement'!H$24</f>
        <v>-0.30907216494845363</v>
      </c>
      <c r="J36" s="130">
        <f>'Comprehensive Income statement'!I5/'Comprehensive Income statement'!I$24</f>
        <v>9.3177093177093176E-2</v>
      </c>
      <c r="K36" s="130">
        <f>'Comprehensive Income statement'!J5/'Comprehensive Income statement'!J$24</f>
        <v>2.1763187015861305E-2</v>
      </c>
      <c r="L36" s="130">
        <f>'Comprehensive Income statement'!K5/'Comprehensive Income statement'!K$24</f>
        <v>3.6496350364963501E-4</v>
      </c>
    </row>
    <row r="37" spans="1:12" x14ac:dyDescent="0.2">
      <c r="B37" s="198" t="s">
        <v>288</v>
      </c>
      <c r="C37" s="29"/>
      <c r="D37" s="29"/>
      <c r="E37" s="29"/>
      <c r="F37" s="29"/>
      <c r="G37" s="29"/>
      <c r="H37" s="29"/>
      <c r="I37" s="29"/>
      <c r="J37" s="29"/>
      <c r="K37" s="29"/>
      <c r="L37" s="29"/>
    </row>
    <row r="38" spans="1:12" x14ac:dyDescent="0.2">
      <c r="B38" s="199" t="s">
        <v>289</v>
      </c>
      <c r="C38" s="29">
        <f>'Comprehensive Income statement'!B7/'Comprehensive Income statement'!B$24</f>
        <v>-5.0434782608695652E-3</v>
      </c>
      <c r="D38" s="29">
        <f>'Comprehensive Income statement'!C7/'Comprehensive Income statement'!C$24</f>
        <v>-4.7120418848167539E-3</v>
      </c>
      <c r="E38" s="29">
        <f>'Comprehensive Income statement'!D7/'Comprehensive Income statement'!D$24</f>
        <v>-3.1451746399602716E-3</v>
      </c>
      <c r="F38" s="29">
        <f>'Comprehensive Income statement'!E7/'Comprehensive Income statement'!E$24</f>
        <v>1.1684973124561814E-4</v>
      </c>
      <c r="G38" s="29">
        <f>'Comprehensive Income statement'!F7/'Comprehensive Income statement'!F$24</f>
        <v>-2.4236548715462919E-4</v>
      </c>
      <c r="H38" s="29">
        <f>'Comprehensive Income statement'!G7/'Comprehensive Income statement'!G$24</f>
        <v>9.6852300242130745E-5</v>
      </c>
      <c r="I38" s="29">
        <f>'Comprehensive Income statement'!H7/'Comprehensive Income statement'!H$24</f>
        <v>-2.0618556701030929E-4</v>
      </c>
      <c r="J38" s="29">
        <f>'Comprehensive Income statement'!I7/'Comprehensive Income statement'!I$24</f>
        <v>0</v>
      </c>
      <c r="K38" s="29">
        <f>'Comprehensive Income statement'!J7/'Comprehensive Income statement'!J$24</f>
        <v>-1.2295585884667404E-4</v>
      </c>
      <c r="L38" s="29">
        <f>'Comprehensive Income statement'!K7/'Comprehensive Income statement'!K$24</f>
        <v>0</v>
      </c>
    </row>
    <row r="39" spans="1:12" x14ac:dyDescent="0.2">
      <c r="B39" s="199" t="s">
        <v>290</v>
      </c>
      <c r="C39" s="29">
        <f>'Comprehensive Income statement'!B8/'Comprehensive Income statement'!B$24</f>
        <v>8.6956521739130438E-4</v>
      </c>
      <c r="D39" s="29">
        <f>'Comprehensive Income statement'!C8/'Comprehensive Income statement'!C$24</f>
        <v>7.5043630017452003E-3</v>
      </c>
      <c r="E39" s="29">
        <f>'Comprehensive Income statement'!D8/'Comprehensive Income statement'!D$24</f>
        <v>2.8141036252276115E-3</v>
      </c>
      <c r="F39" s="29">
        <f>'Comprehensive Income statement'!E8/'Comprehensive Income statement'!E$24</f>
        <v>1.1684973124561814E-4</v>
      </c>
      <c r="G39" s="29" t="s">
        <v>58</v>
      </c>
      <c r="H39" s="29" t="s">
        <v>58</v>
      </c>
      <c r="I39" s="29" t="s">
        <v>58</v>
      </c>
      <c r="J39" s="29" t="s">
        <v>58</v>
      </c>
      <c r="K39" s="29" t="s">
        <v>58</v>
      </c>
      <c r="L39" s="29" t="s">
        <v>58</v>
      </c>
    </row>
    <row r="40" spans="1:12" x14ac:dyDescent="0.2">
      <c r="B40" s="204" t="s">
        <v>291</v>
      </c>
      <c r="C40" s="201">
        <f>'Comprehensive Income statement'!B9/'Comprehensive Income statement'!B$24</f>
        <v>-4.1739130434782605E-3</v>
      </c>
      <c r="D40" s="201">
        <f>'Comprehensive Income statement'!C9/'Comprehensive Income statement'!C$24</f>
        <v>2.7923211169284469E-3</v>
      </c>
      <c r="E40" s="201">
        <f>'Comprehensive Income statement'!D9/'Comprehensive Income statement'!D$24</f>
        <v>-3.3107101473266014E-4</v>
      </c>
      <c r="F40" s="201">
        <f>'Comprehensive Income statement'!E9/'Comprehensive Income statement'!E$24</f>
        <v>2.3369946249123628E-4</v>
      </c>
      <c r="G40" s="201">
        <f>'Comprehensive Income statement'!F9/'Comprehensive Income statement'!F$24</f>
        <v>-2.4236548715462919E-4</v>
      </c>
      <c r="H40" s="201">
        <f>'Comprehensive Income statement'!G9/'Comprehensive Income statement'!G$24</f>
        <v>9.6852300242130745E-5</v>
      </c>
      <c r="I40" s="201">
        <f>'Comprehensive Income statement'!H9/'Comprehensive Income statement'!H$24</f>
        <v>-2.0618556701030929E-4</v>
      </c>
      <c r="J40" s="201">
        <f>'Comprehensive Income statement'!I9/'Comprehensive Income statement'!I$24</f>
        <v>0</v>
      </c>
      <c r="K40" s="201">
        <f>'Comprehensive Income statement'!J9/'Comprehensive Income statement'!J$24</f>
        <v>-1.2295585884667404E-4</v>
      </c>
      <c r="L40" s="201">
        <f>'Comprehensive Income statement'!K9/'Comprehensive Income statement'!K$24</f>
        <v>0</v>
      </c>
    </row>
    <row r="41" spans="1:12" x14ac:dyDescent="0.2">
      <c r="B41" s="198" t="s">
        <v>292</v>
      </c>
      <c r="C41" s="29"/>
      <c r="D41" s="29"/>
      <c r="E41" s="29"/>
      <c r="F41" s="29"/>
      <c r="G41" s="29"/>
      <c r="H41" s="29"/>
      <c r="I41" s="29"/>
      <c r="J41" s="29"/>
      <c r="K41" s="29"/>
      <c r="L41" s="29"/>
    </row>
    <row r="42" spans="1:12" x14ac:dyDescent="0.2">
      <c r="B42" s="199" t="s">
        <v>289</v>
      </c>
      <c r="C42" s="29">
        <f>'Comprehensive Income statement'!B11/'Comprehensive Income statement'!B$24</f>
        <v>0.1666086956521739</v>
      </c>
      <c r="D42" s="29">
        <f>'Comprehensive Income statement'!C11/'Comprehensive Income statement'!C$24</f>
        <v>5.3926701570680628E-2</v>
      </c>
      <c r="E42" s="29">
        <f>'Comprehensive Income statement'!D11/'Comprehensive Income statement'!D$24</f>
        <v>2.0112564145009105E-2</v>
      </c>
      <c r="F42" s="29">
        <f>'Comprehensive Income statement'!E11/'Comprehensive Income statement'!E$24</f>
        <v>-6.7772844122458518E-3</v>
      </c>
      <c r="G42" s="29">
        <f>'Comprehensive Income statement'!F11/'Comprehensive Income statement'!F$24</f>
        <v>-1.6480853126514785E-2</v>
      </c>
      <c r="H42" s="29">
        <f>'Comprehensive Income statement'!G11/'Comprehensive Income statement'!G$24</f>
        <v>-6.6731234866828082E-2</v>
      </c>
      <c r="I42" s="29">
        <f>'Comprehensive Income statement'!H11/'Comprehensive Income statement'!H$24</f>
        <v>-7.1958762886597943E-2</v>
      </c>
      <c r="J42" s="29">
        <f>'Comprehensive Income statement'!I11/'Comprehensive Income statement'!I$24</f>
        <v>3.2508032508032511E-2</v>
      </c>
      <c r="K42" s="29">
        <f>'Comprehensive Income statement'!J11/'Comprehensive Income statement'!J$24</f>
        <v>2.9632361982048445E-2</v>
      </c>
      <c r="L42" s="29">
        <f>'Comprehensive Income statement'!K11/'Comprehensive Income statement'!K$24</f>
        <v>3.7773722627737226E-2</v>
      </c>
    </row>
    <row r="43" spans="1:12" x14ac:dyDescent="0.2">
      <c r="B43" s="199" t="s">
        <v>290</v>
      </c>
      <c r="C43" s="29">
        <f>'Comprehensive Income statement'!B12/'Comprehensive Income statement'!B$24</f>
        <v>-1.6869565217391306E-2</v>
      </c>
      <c r="D43" s="29">
        <f>'Comprehensive Income statement'!C12/'Comprehensive Income statement'!C$24</f>
        <v>-9.3542757417102967E-2</v>
      </c>
      <c r="E43" s="29">
        <f>'Comprehensive Income statement'!D12/'Comprehensive Income statement'!D$24</f>
        <v>8.4423108756828333E-3</v>
      </c>
      <c r="F43" s="29">
        <f>'Comprehensive Income statement'!E12/'Comprehensive Income statement'!E$24</f>
        <v>-4.2416452442159386E-2</v>
      </c>
      <c r="G43" s="29">
        <f>'Comprehensive Income statement'!F12/'Comprehensive Income statement'!F$24</f>
        <v>5.4411051866214248E-2</v>
      </c>
      <c r="H43" s="29">
        <f>'Comprehensive Income statement'!G12/'Comprehensive Income statement'!G$24</f>
        <v>7.2639225181598066E-3</v>
      </c>
      <c r="I43" s="29">
        <f>'Comprehensive Income statement'!H12/'Comprehensive Income statement'!H$24</f>
        <v>-4.3298969072164952E-3</v>
      </c>
      <c r="J43" s="29">
        <f>'Comprehensive Income statement'!I12/'Comprehensive Income statement'!I$24</f>
        <v>2.2963522963522963E-2</v>
      </c>
      <c r="K43" s="29">
        <f>'Comprehensive Income statement'!J12/'Comprehensive Income statement'!J$24</f>
        <v>-4.9182343538669619E-2</v>
      </c>
      <c r="L43" s="29">
        <f>'Comprehensive Income statement'!K12/'Comprehensive Income statement'!K$24</f>
        <v>-2.9014598540145986E-2</v>
      </c>
    </row>
    <row r="44" spans="1:12" x14ac:dyDescent="0.2">
      <c r="B44" s="204" t="s">
        <v>293</v>
      </c>
      <c r="C44" s="201">
        <f>'Comprehensive Income statement'!B13/'Comprehensive Income statement'!B$24</f>
        <v>0.1497391304347826</v>
      </c>
      <c r="D44" s="201">
        <f>'Comprehensive Income statement'!C13/'Comprehensive Income statement'!C$24</f>
        <v>-3.9616055846422339E-2</v>
      </c>
      <c r="E44" s="201">
        <f>'Comprehensive Income statement'!D13/'Comprehensive Income statement'!D$24</f>
        <v>2.8554875020691938E-2</v>
      </c>
      <c r="F44" s="201">
        <f>'Comprehensive Income statement'!E13/'Comprehensive Income statement'!E$24</f>
        <v>-4.9193736854405236E-2</v>
      </c>
      <c r="G44" s="201">
        <f>'Comprehensive Income statement'!F13/'Comprehensive Income statement'!F$24</f>
        <v>3.7930198739699467E-2</v>
      </c>
      <c r="H44" s="201">
        <f>'Comprehensive Income statement'!G13/'Comprehensive Income statement'!G$24</f>
        <v>-5.9467312348668283E-2</v>
      </c>
      <c r="I44" s="201">
        <f>'Comprehensive Income statement'!H13/'Comprehensive Income statement'!H$24</f>
        <v>-7.628865979381444E-2</v>
      </c>
      <c r="J44" s="201">
        <f>'Comprehensive Income statement'!I13/'Comprehensive Income statement'!I$24</f>
        <v>5.5471555471555474E-2</v>
      </c>
      <c r="K44" s="201">
        <f>'Comprehensive Income statement'!J13/'Comprehensive Income statement'!J$24</f>
        <v>-1.9549981556621174E-2</v>
      </c>
      <c r="L44" s="201">
        <f>'Comprehensive Income statement'!K13/'Comprehensive Income statement'!K$24</f>
        <v>8.7591240875912416E-3</v>
      </c>
    </row>
    <row r="45" spans="1:12" x14ac:dyDescent="0.2">
      <c r="B45" s="198" t="s">
        <v>294</v>
      </c>
      <c r="C45" s="29"/>
      <c r="D45" s="29"/>
      <c r="E45" s="29"/>
      <c r="F45" s="29"/>
      <c r="G45" s="29"/>
      <c r="H45" s="29"/>
      <c r="I45" s="29"/>
      <c r="J45" s="29"/>
      <c r="K45" s="29"/>
      <c r="L45" s="29"/>
    </row>
    <row r="46" spans="1:12" x14ac:dyDescent="0.2">
      <c r="B46" s="199" t="s">
        <v>295</v>
      </c>
      <c r="C46" s="29">
        <f>'Comprehensive Income statement'!B15/'Comprehensive Income statement'!B$24</f>
        <v>1.7391304347826088E-4</v>
      </c>
      <c r="D46" s="29">
        <f>'Comprehensive Income statement'!C15/'Comprehensive Income statement'!C$24</f>
        <v>5.2356020942408382E-4</v>
      </c>
      <c r="E46" s="29" t="s">
        <v>58</v>
      </c>
      <c r="F46" s="29">
        <f>'Comprehensive Income statement'!E15/'Comprehensive Income statement'!E$24</f>
        <v>0</v>
      </c>
      <c r="G46" s="29">
        <f>'Comprehensive Income statement'!F15/'Comprehensive Income statement'!F$24</f>
        <v>-2.2055259331071254E-2</v>
      </c>
      <c r="H46" s="29">
        <f>'Comprehensive Income statement'!G15/'Comprehensive Income statement'!G$24</f>
        <v>-7.0702179176755451E-3</v>
      </c>
      <c r="I46" s="29">
        <f>'Comprehensive Income statement'!H15/'Comprehensive Income statement'!H$24</f>
        <v>-7.6288659793814434E-3</v>
      </c>
      <c r="J46" s="29">
        <f>'Comprehensive Income statement'!I15/'Comprehensive Income statement'!I$24</f>
        <v>-4.8195048195048195E-3</v>
      </c>
      <c r="K46" s="29">
        <f>'Comprehensive Income statement'!J15/'Comprehensive Income statement'!J$24</f>
        <v>5.6928562646010081E-2</v>
      </c>
      <c r="L46" s="29">
        <f>'Comprehensive Income statement'!K15/'Comprehensive Income statement'!K$24</f>
        <v>3.6496350364963501E-4</v>
      </c>
    </row>
    <row r="47" spans="1:12" x14ac:dyDescent="0.2">
      <c r="B47" s="199" t="s">
        <v>296</v>
      </c>
      <c r="C47" s="29">
        <f>'Comprehensive Income statement'!B16/'Comprehensive Income statement'!B$24</f>
        <v>-1.7041739130434783</v>
      </c>
      <c r="D47" s="29">
        <f>'Comprehensive Income statement'!C16/'Comprehensive Income statement'!C$24</f>
        <v>-0.25855148342059336</v>
      </c>
      <c r="E47" s="29">
        <f>'Comprehensive Income statement'!D16/'Comprehensive Income statement'!D$24</f>
        <v>-0.20609170667108095</v>
      </c>
      <c r="F47" s="29">
        <f>'Comprehensive Income statement'!E16/'Comprehensive Income statement'!E$24</f>
        <v>7.9691516709511565E-2</v>
      </c>
      <c r="G47" s="29">
        <f>'Comprehensive Income statement'!F16/'Comprehensive Income statement'!F$24</f>
        <v>-0.3050169655841008</v>
      </c>
      <c r="H47" s="29">
        <f>'Comprehensive Income statement'!G16/'Comprehensive Income statement'!G$24</f>
        <v>-1.1622276029055689E-2</v>
      </c>
      <c r="I47" s="29">
        <f>'Comprehensive Income statement'!H16/'Comprehensive Income statement'!H$24</f>
        <v>-0.34597938144329898</v>
      </c>
      <c r="J47" s="29">
        <f>'Comprehensive Income statement'!I16/'Comprehensive Income statement'!I$24</f>
        <v>0.22991872991872991</v>
      </c>
      <c r="K47" s="29">
        <f>'Comprehensive Income statement'!J16/'Comprehensive Income statement'!J$24</f>
        <v>0.10795524406737982</v>
      </c>
      <c r="L47" s="29">
        <f>'Comprehensive Income statement'!K16/'Comprehensive Income statement'!K$24</f>
        <v>-0.56843065693430661</v>
      </c>
    </row>
    <row r="48" spans="1:12" x14ac:dyDescent="0.2">
      <c r="B48" s="199" t="s">
        <v>297</v>
      </c>
      <c r="C48" s="29">
        <f>'Comprehensive Income statement'!B17/'Comprehensive Income statement'!B$24</f>
        <v>4.1739130434782605E-3</v>
      </c>
      <c r="D48" s="29">
        <f>'Comprehensive Income statement'!C17/'Comprehensive Income statement'!C$24</f>
        <v>2.8795811518324606E-3</v>
      </c>
      <c r="E48" s="29">
        <f>'Comprehensive Income statement'!D17/'Comprehensive Income statement'!D$24</f>
        <v>-1.3242840589306405E-3</v>
      </c>
      <c r="F48" s="29">
        <f>'Comprehensive Income statement'!E17/'Comprehensive Income statement'!E$24</f>
        <v>2.2201448936667446E-3</v>
      </c>
      <c r="G48" s="29">
        <f>'Comprehensive Income statement'!F17/'Comprehensive Income statement'!F$24</f>
        <v>1.3330101793504604E-3</v>
      </c>
      <c r="H48" s="29">
        <f>'Comprehensive Income statement'!G17/'Comprehensive Income statement'!G$24</f>
        <v>3.9709443099273604E-3</v>
      </c>
      <c r="I48" s="29">
        <f>'Comprehensive Income statement'!H17/'Comprehensive Income statement'!H$24</f>
        <v>1.0721649484536083E-2</v>
      </c>
      <c r="J48" s="29">
        <f>'Comprehensive Income statement'!I17/'Comprehensive Income statement'!I$24</f>
        <v>8.8830088830088826E-3</v>
      </c>
      <c r="K48" s="29">
        <f>'Comprehensive Income statement'!J17/'Comprehensive Income statement'!J$24</f>
        <v>0.73404647731464401</v>
      </c>
      <c r="L48" s="29">
        <f>'Comprehensive Income statement'!K17/'Comprehensive Income statement'!K$24</f>
        <v>9.1240875912408756E-4</v>
      </c>
    </row>
    <row r="49" spans="1:12" x14ac:dyDescent="0.2">
      <c r="B49" s="199" t="s">
        <v>298</v>
      </c>
      <c r="C49" s="29">
        <f>'Comprehensive Income statement'!B18/'Comprehensive Income statement'!B$24</f>
        <v>-1.982608695652174E-2</v>
      </c>
      <c r="D49" s="29">
        <f>'Comprehensive Income statement'!C18/'Comprehensive Income statement'!C$24</f>
        <v>-8.7260034904013961E-3</v>
      </c>
      <c r="E49" s="29">
        <f>'Comprehensive Income statement'!D18/'Comprehensive Income statement'!D$24</f>
        <v>-8.8561496440986587E-3</v>
      </c>
      <c r="F49" s="29">
        <f>'Comprehensive Income statement'!E18/'Comprehensive Income statement'!E$24</f>
        <v>-1.0282776349614395E-2</v>
      </c>
      <c r="G49" s="29">
        <f>'Comprehensive Income statement'!F18/'Comprehensive Income statement'!F$24</f>
        <v>-8.8463402811439652E-3</v>
      </c>
      <c r="H49" s="29">
        <f>'Comprehensive Income statement'!G18/'Comprehensive Income statement'!G$24</f>
        <v>-8.7167070217917674E-4</v>
      </c>
      <c r="I49" s="29">
        <f>'Comprehensive Income statement'!H18/'Comprehensive Income statement'!H$24</f>
        <v>2.6804123711340207E-3</v>
      </c>
      <c r="J49" s="29">
        <f>'Comprehensive Income statement'!I18/'Comprehensive Income statement'!I$24</f>
        <v>8.5050085050085054E-4</v>
      </c>
      <c r="K49" s="29">
        <f>'Comprehensive Income statement'!J18/'Comprehensive Income statement'!J$24</f>
        <v>1.4754703061600886E-3</v>
      </c>
      <c r="L49" s="29">
        <f>'Comprehensive Income statement'!K18/'Comprehensive Income statement'!K$24</f>
        <v>-1.6423357664233577E-3</v>
      </c>
    </row>
    <row r="50" spans="1:12" x14ac:dyDescent="0.2">
      <c r="B50" s="199" t="s">
        <v>299</v>
      </c>
      <c r="C50" s="29">
        <f>'Comprehensive Income statement'!B19/'Comprehensive Income statement'!B$24</f>
        <v>0.44017391304347825</v>
      </c>
      <c r="D50" s="29">
        <f>'Comprehensive Income statement'!C19/'Comprehensive Income statement'!C$24</f>
        <v>0.28830715532286211</v>
      </c>
      <c r="E50" s="29">
        <f>'Comprehensive Income statement'!D19/'Comprehensive Income statement'!D$24</f>
        <v>0.22877007118026818</v>
      </c>
      <c r="F50" s="29">
        <f>'Comprehensive Income statement'!E19/'Comprehensive Income statement'!E$24</f>
        <v>0.33757887356859079</v>
      </c>
      <c r="G50" s="29">
        <f>'Comprehensive Income statement'!F19/'Comprehensive Income statement'!F$24</f>
        <v>0.35942801745031505</v>
      </c>
      <c r="H50" s="29">
        <f>'Comprehensive Income statement'!G19/'Comprehensive Income statement'!G$24</f>
        <v>0.17849878934624697</v>
      </c>
      <c r="I50" s="29">
        <f>'Comprehensive Income statement'!H19/'Comprehensive Income statement'!H$24</f>
        <v>0.47711340206185565</v>
      </c>
      <c r="J50" s="29">
        <f>'Comprehensive Income statement'!I19/'Comprehensive Income statement'!I$24</f>
        <v>0.23473823473823474</v>
      </c>
      <c r="K50" s="29">
        <f>'Comprehensive Income statement'!J19/'Comprehensive Income statement'!J$24</f>
        <v>0.19623755071929178</v>
      </c>
      <c r="L50" s="29">
        <f>'Comprehensive Income statement'!K19/'Comprehensive Income statement'!K$24</f>
        <v>9.3978102189781018E-2</v>
      </c>
    </row>
    <row r="51" spans="1:12" x14ac:dyDescent="0.2">
      <c r="B51" s="204" t="s">
        <v>300</v>
      </c>
      <c r="C51" s="201">
        <f>'Comprehensive Income statement'!B20/'Comprehensive Income statement'!B$24</f>
        <v>-1.2794782608695652</v>
      </c>
      <c r="D51" s="201">
        <f>'Comprehensive Income statement'!C20/'Comprehensive Income statement'!C$24</f>
        <v>2.4432809773123908E-2</v>
      </c>
      <c r="E51" s="201">
        <f>'Comprehensive Income statement'!D20/'Comprehensive Income statement'!D$24</f>
        <v>1.2497930806157921E-2</v>
      </c>
      <c r="F51" s="201">
        <f>'Comprehensive Income statement'!E20/'Comprehensive Income statement'!E$24</f>
        <v>0.40920775882215471</v>
      </c>
      <c r="G51" s="201">
        <f>'Comprehensive Income statement'!F20/'Comprehensive Income statement'!F$24</f>
        <v>2.4842462433349491E-2</v>
      </c>
      <c r="H51" s="201">
        <f>'Comprehensive Income statement'!G20/'Comprehensive Income statement'!G$24</f>
        <v>0.16290556900726391</v>
      </c>
      <c r="I51" s="201">
        <f>'Comprehensive Income statement'!H20/'Comprehensive Income statement'!H$24</f>
        <v>0.13690721649484536</v>
      </c>
      <c r="J51" s="201">
        <f>'Comprehensive Income statement'!I20/'Comprehensive Income statement'!I$24</f>
        <v>0.46957096957096955</v>
      </c>
      <c r="K51" s="201">
        <f>'Comprehensive Income statement'!J20/'Comprehensive Income statement'!J$24</f>
        <v>1.0966433050534858</v>
      </c>
      <c r="L51" s="201">
        <f>'Comprehensive Income statement'!K20/'Comprehensive Income statement'!K$24</f>
        <v>-0.4748175182481752</v>
      </c>
    </row>
    <row r="52" spans="1:12" x14ac:dyDescent="0.2">
      <c r="B52" s="197" t="s">
        <v>317</v>
      </c>
      <c r="C52" s="29">
        <f>'Comprehensive Income statement'!B21/'Comprehensive Income statement'!B$24</f>
        <v>-1.4184347826086956</v>
      </c>
      <c r="D52" s="29">
        <f>'Comprehensive Income statement'!C21/'Comprehensive Income statement'!C$24</f>
        <v>-0.13289703315881327</v>
      </c>
      <c r="E52" s="29">
        <f>'Comprehensive Income statement'!D21/'Comprehensive Income statement'!D$24</f>
        <v>3.90663797384539E-2</v>
      </c>
      <c r="F52" s="29">
        <f>'Comprehensive Income statement'!E21/'Comprehensive Income statement'!E$24</f>
        <v>0.37800888057957466</v>
      </c>
      <c r="G52" s="29">
        <f>'Comprehensive Income statement'!F21/'Comprehensive Income statement'!F$24</f>
        <v>-2.6054289869122636E-2</v>
      </c>
      <c r="H52" s="29">
        <f>'Comprehensive Income statement'!G21/'Comprehensive Income statement'!G$24</f>
        <v>9.9661016949152539E-2</v>
      </c>
      <c r="I52" s="29">
        <f>'Comprehensive Income statement'!H21/'Comprehensive Income statement'!H$24</f>
        <v>-0.24865979381443298</v>
      </c>
      <c r="J52" s="29">
        <f>'Comprehensive Income statement'!I21/'Comprehensive Income statement'!I$24</f>
        <v>0.61821961821961824</v>
      </c>
      <c r="K52" s="29">
        <f>'Comprehensive Income statement'!J21/'Comprehensive Income statement'!J$24</f>
        <v>1.0987335546538792</v>
      </c>
      <c r="L52" s="29">
        <f>'Comprehensive Income statement'!K21/'Comprehensive Income statement'!K$24</f>
        <v>-0.4656934306569343</v>
      </c>
    </row>
    <row r="53" spans="1:12" x14ac:dyDescent="0.2">
      <c r="B53" s="197" t="s">
        <v>314</v>
      </c>
      <c r="C53" s="29">
        <f>'Comprehensive Income statement'!B22/'Comprehensive Income statement'!B$24</f>
        <v>0.32747826086956522</v>
      </c>
      <c r="D53" s="29">
        <f>'Comprehensive Income statement'!C22/'Comprehensive Income statement'!C$24</f>
        <v>-1.8150087260034906E-2</v>
      </c>
      <c r="E53" s="29">
        <f>'Comprehensive Income statement'!D22/'Comprehensive Income statement'!D$24</f>
        <v>-2.1767919218672407E-2</v>
      </c>
      <c r="F53" s="29">
        <f>'Comprehensive Income statement'!E22/'Comprehensive Income statement'!E$24</f>
        <v>-5.0128534704370183E-2</v>
      </c>
      <c r="G53" s="29">
        <f>'Comprehensive Income statement'!F22/'Comprehensive Income statement'!F$24</f>
        <v>-3.1749878817256424E-2</v>
      </c>
      <c r="H53" s="29">
        <f>'Comprehensive Income statement'!G22/'Comprehensive Income statement'!G$24</f>
        <v>-1.3171912832929782E-2</v>
      </c>
      <c r="I53" s="29">
        <f>'Comprehensive Income statement'!H22/'Comprehensive Income statement'!H$24</f>
        <v>9.6082474226804118E-2</v>
      </c>
      <c r="J53" s="29">
        <f>'Comprehensive Income statement'!I22/'Comprehensive Income statement'!I$24</f>
        <v>-0.16093366093366093</v>
      </c>
      <c r="K53" s="29">
        <f>'Comprehensive Income statement'!J22/'Comprehensive Income statement'!J$24</f>
        <v>-0.300258207303578</v>
      </c>
      <c r="L53" s="29">
        <f>'Comprehensive Income statement'!K22/'Comprehensive Income statement'!K$24</f>
        <v>9.68978102189781E-2</v>
      </c>
    </row>
    <row r="54" spans="1:12" x14ac:dyDescent="0.2">
      <c r="B54" s="197" t="s">
        <v>318</v>
      </c>
      <c r="C54" s="29">
        <f>'Comprehensive Income statement'!B23/'Comprehensive Income statement'!B$24</f>
        <v>-1.0909565217391304</v>
      </c>
      <c r="D54" s="29">
        <f>'Comprehensive Income statement'!C23/'Comprehensive Income statement'!C$24</f>
        <v>-0.15104712041884816</v>
      </c>
      <c r="E54" s="29">
        <f>'Comprehensive Income statement'!D23/'Comprehensive Income statement'!D$24</f>
        <v>1.7298460519781494E-2</v>
      </c>
      <c r="F54" s="29">
        <f>'Comprehensive Income statement'!E23/'Comprehensive Income statement'!E$24</f>
        <v>0.32788034587520448</v>
      </c>
      <c r="G54" s="29">
        <f>'Comprehensive Income statement'!F23/'Comprehensive Income statement'!F$24</f>
        <v>-5.7804168686379061E-2</v>
      </c>
      <c r="H54" s="29">
        <f>'Comprehensive Income statement'!G23/'Comprehensive Income statement'!G$24</f>
        <v>8.6489104116222765E-2</v>
      </c>
      <c r="I54" s="29">
        <f>'Comprehensive Income statement'!H23/'Comprehensive Income statement'!H$24</f>
        <v>-0.15257731958762888</v>
      </c>
      <c r="J54" s="29">
        <f>'Comprehensive Income statement'!I23/'Comprehensive Income statement'!I$24</f>
        <v>0.45728595728595728</v>
      </c>
      <c r="K54" s="29">
        <f>'Comprehensive Income statement'!J23/'Comprehensive Income statement'!J$24</f>
        <v>0.79847534735030123</v>
      </c>
      <c r="L54" s="29">
        <f>'Comprehensive Income statement'!K23/'Comprehensive Income statement'!K$24</f>
        <v>-0.36879562043795622</v>
      </c>
    </row>
    <row r="55" spans="1:12" ht="15.75" thickBot="1" x14ac:dyDescent="0.25">
      <c r="B55" s="202" t="s">
        <v>303</v>
      </c>
      <c r="C55" s="203">
        <f>'Comprehensive Income statement'!B24/'Comprehensive Income statement'!B$24</f>
        <v>1</v>
      </c>
      <c r="D55" s="203">
        <f>'Comprehensive Income statement'!C24/'Comprehensive Income statement'!C$24</f>
        <v>1</v>
      </c>
      <c r="E55" s="203">
        <f>'Comprehensive Income statement'!D24/'Comprehensive Income statement'!D$24</f>
        <v>1</v>
      </c>
      <c r="F55" s="203">
        <f>'Comprehensive Income statement'!E24/'Comprehensive Income statement'!E$24</f>
        <v>1</v>
      </c>
      <c r="G55" s="203">
        <f>'Comprehensive Income statement'!F24/'Comprehensive Income statement'!F$24</f>
        <v>1</v>
      </c>
      <c r="H55" s="203">
        <f>'Comprehensive Income statement'!G24/'Comprehensive Income statement'!G$24</f>
        <v>1</v>
      </c>
      <c r="I55" s="203">
        <f>'Comprehensive Income statement'!H24/'Comprehensive Income statement'!H$24</f>
        <v>1</v>
      </c>
      <c r="J55" s="203">
        <f>'Comprehensive Income statement'!I24/'Comprehensive Income statement'!I$24</f>
        <v>1</v>
      </c>
      <c r="K55" s="203">
        <f>'Comprehensive Income statement'!J24/'Comprehensive Income statement'!J$24</f>
        <v>1</v>
      </c>
      <c r="L55" s="203">
        <f>'Comprehensive Income statement'!K24/'Comprehensive Income statement'!K$24</f>
        <v>1</v>
      </c>
    </row>
    <row r="56" spans="1:12" ht="15.75" thickTop="1" x14ac:dyDescent="0.2">
      <c r="B56" s="15"/>
      <c r="C56" s="130"/>
      <c r="D56" s="130"/>
      <c r="E56" s="130"/>
      <c r="F56" s="130"/>
      <c r="G56" s="130"/>
      <c r="H56" s="130"/>
      <c r="I56" s="130"/>
      <c r="J56" s="130"/>
      <c r="K56" s="130"/>
      <c r="L56" s="130"/>
    </row>
    <row r="57" spans="1:12" x14ac:dyDescent="0.2">
      <c r="B57" s="15"/>
      <c r="C57" s="130"/>
      <c r="D57" s="130"/>
      <c r="E57" s="130"/>
      <c r="F57" s="130"/>
      <c r="G57" s="130"/>
      <c r="H57" s="130"/>
      <c r="I57" s="130"/>
      <c r="J57" s="130"/>
      <c r="K57" s="130"/>
      <c r="L57" s="130"/>
    </row>
    <row r="58" spans="1:12" ht="15.75" x14ac:dyDescent="0.2">
      <c r="A58" s="3" t="s">
        <v>182</v>
      </c>
      <c r="B58" s="155" t="s">
        <v>136</v>
      </c>
      <c r="C58" s="194"/>
      <c r="D58" s="194"/>
      <c r="E58" s="194"/>
      <c r="F58" s="194"/>
      <c r="G58" s="194"/>
      <c r="H58" s="194"/>
      <c r="I58" s="194"/>
      <c r="J58" s="194"/>
      <c r="K58" s="194"/>
      <c r="L58" s="194"/>
    </row>
    <row r="59" spans="1:12" x14ac:dyDescent="0.2">
      <c r="B59" s="13" t="s">
        <v>50</v>
      </c>
      <c r="C59" s="30"/>
      <c r="D59" s="30"/>
      <c r="E59" s="30"/>
      <c r="F59" s="30"/>
      <c r="G59" s="30"/>
      <c r="H59" s="30"/>
      <c r="I59" s="30"/>
      <c r="J59" s="30"/>
      <c r="K59" s="30"/>
      <c r="L59" s="30"/>
    </row>
    <row r="60" spans="1:12" x14ac:dyDescent="0.2">
      <c r="B60" s="14" t="s">
        <v>49</v>
      </c>
      <c r="C60" s="30"/>
      <c r="D60" s="30"/>
      <c r="E60" s="30"/>
      <c r="F60" s="30"/>
      <c r="G60" s="30"/>
      <c r="H60" s="30"/>
      <c r="I60" s="30"/>
      <c r="J60" s="30"/>
      <c r="K60" s="30"/>
      <c r="L60" s="30"/>
    </row>
    <row r="61" spans="1:12" x14ac:dyDescent="0.2">
      <c r="B61" s="163" t="s">
        <v>184</v>
      </c>
      <c r="C61" s="30">
        <f>'Balance sheet'!B5/'Balance sheet'!B$31</f>
        <v>7.2276417218091277E-2</v>
      </c>
      <c r="D61" s="30">
        <f>'Balance sheet'!C5/'Balance sheet'!C$31</f>
        <v>6.9568758767365041E-2</v>
      </c>
      <c r="E61" s="30">
        <f>'Balance sheet'!D5/'Balance sheet'!D$31</f>
        <v>6.8681365455009788E-2</v>
      </c>
      <c r="F61" s="30">
        <f>'Balance sheet'!E5/'Balance sheet'!E$31</f>
        <v>9.7562921303498071E-2</v>
      </c>
      <c r="G61" s="30">
        <f>'Balance sheet'!F5/'Balance sheet'!F$31</f>
        <v>9.4033927428048072E-2</v>
      </c>
      <c r="H61" s="30">
        <f>'Balance sheet'!G5/'Balance sheet'!G$31</f>
        <v>5.4630158949187511E-2</v>
      </c>
      <c r="I61" s="30">
        <f>'Balance sheet'!H5/'Balance sheet'!H$31</f>
        <v>8.7682966705349072E-2</v>
      </c>
      <c r="J61" s="30">
        <f>'Balance sheet'!I5/'Balance sheet'!I$31</f>
        <v>5.2719297581078933E-2</v>
      </c>
      <c r="K61" s="30">
        <f>'Balance sheet'!J5/'Balance sheet'!J$31</f>
        <v>6.2793238134907226E-2</v>
      </c>
      <c r="L61" s="30">
        <f>'Balance sheet'!K5/'Balance sheet'!K$31</f>
        <v>9.6783496007098485E-2</v>
      </c>
    </row>
    <row r="62" spans="1:12" x14ac:dyDescent="0.2">
      <c r="B62" s="163" t="s">
        <v>185</v>
      </c>
      <c r="C62" s="30" t="s">
        <v>58</v>
      </c>
      <c r="D62" s="30" t="s">
        <v>58</v>
      </c>
      <c r="E62" s="30" t="s">
        <v>58</v>
      </c>
      <c r="F62" s="30">
        <f>'Balance sheet'!E6/'Balance sheet'!E$31</f>
        <v>2.0900642176219539E-3</v>
      </c>
      <c r="G62" s="30">
        <f>'Balance sheet'!F6/'Balance sheet'!F$31</f>
        <v>1.8236195200233424E-3</v>
      </c>
      <c r="H62" s="30">
        <f>'Balance sheet'!G6/'Balance sheet'!G$31</f>
        <v>9.2649175028090445E-4</v>
      </c>
      <c r="I62" s="30">
        <f>'Balance sheet'!H6/'Balance sheet'!H$31</f>
        <v>2.9685005545902763E-3</v>
      </c>
      <c r="J62" s="30">
        <f>'Balance sheet'!I6/'Balance sheet'!I$31</f>
        <v>2.3257399565154808E-3</v>
      </c>
      <c r="K62" s="30">
        <f>'Balance sheet'!J6/'Balance sheet'!J$31</f>
        <v>8.0947478446751495E-4</v>
      </c>
      <c r="L62" s="30">
        <f>'Balance sheet'!K6/'Balance sheet'!K$31</f>
        <v>1.626737651582372E-4</v>
      </c>
    </row>
    <row r="63" spans="1:12" x14ac:dyDescent="0.2">
      <c r="B63" s="163" t="s">
        <v>186</v>
      </c>
      <c r="C63" s="30">
        <f>'Balance sheet'!B7/'Balance sheet'!B$31</f>
        <v>0</v>
      </c>
      <c r="D63" s="30">
        <f>'Balance sheet'!C7/'Balance sheet'!C$31</f>
        <v>4.5884429159690487E-3</v>
      </c>
      <c r="E63" s="30">
        <f>'Balance sheet'!D7/'Balance sheet'!D$31</f>
        <v>5.9674810589937857E-3</v>
      </c>
      <c r="F63" s="30">
        <f>'Balance sheet'!E7/'Balance sheet'!E$31</f>
        <v>4.8502253599776637E-3</v>
      </c>
      <c r="G63" s="30">
        <f>'Balance sheet'!F7/'Balance sheet'!F$31</f>
        <v>5.0088749483307802E-3</v>
      </c>
      <c r="H63" s="30">
        <f>'Balance sheet'!G7/'Balance sheet'!G$31</f>
        <v>4.5733209801099963E-3</v>
      </c>
      <c r="I63" s="30">
        <f>'Balance sheet'!H7/'Balance sheet'!H$31</f>
        <v>3.8468689692314597E-3</v>
      </c>
      <c r="J63" s="30">
        <f>'Balance sheet'!I7/'Balance sheet'!I$31</f>
        <v>4.5454201104537083E-3</v>
      </c>
      <c r="K63" s="30">
        <f>'Balance sheet'!J7/'Balance sheet'!J$31</f>
        <v>5.8785159105019533E-3</v>
      </c>
      <c r="L63" s="30">
        <f>'Balance sheet'!K7/'Balance sheet'!K$31</f>
        <v>2.7580597456373854E-3</v>
      </c>
    </row>
    <row r="64" spans="1:12" x14ac:dyDescent="0.2">
      <c r="B64" s="164" t="s">
        <v>51</v>
      </c>
      <c r="C64" s="30">
        <f>'Balance sheet'!B8/'Balance sheet'!B$31</f>
        <v>7.7512108602223892E-2</v>
      </c>
      <c r="D64" s="30">
        <f>'Balance sheet'!C8/'Balance sheet'!C$31</f>
        <v>7.5415177157337435E-2</v>
      </c>
      <c r="E64" s="30">
        <f>'Balance sheet'!D8/'Balance sheet'!D$31</f>
        <v>7.6104537328679667E-2</v>
      </c>
      <c r="F64" s="30">
        <f>'Balance sheet'!E8/'Balance sheet'!E$31</f>
        <v>7.12217302859878E-2</v>
      </c>
      <c r="G64" s="30">
        <f>'Balance sheet'!F8/'Balance sheet'!F$31</f>
        <v>6.0236178990282135E-2</v>
      </c>
      <c r="H64" s="30">
        <f>'Balance sheet'!G8/'Balance sheet'!G$31</f>
        <v>5.1712695565324242E-2</v>
      </c>
      <c r="I64" s="30">
        <f>'Balance sheet'!H8/'Balance sheet'!H$31</f>
        <v>3.7122285553083584E-2</v>
      </c>
      <c r="J64" s="30">
        <f>'Balance sheet'!I8/'Balance sheet'!I$31</f>
        <v>5.1166279043340583E-2</v>
      </c>
      <c r="K64" s="30">
        <f>'Balance sheet'!J8/'Balance sheet'!J$31</f>
        <v>5.1405578302932187E-2</v>
      </c>
      <c r="L64" s="30">
        <f>'Balance sheet'!K8/'Balance sheet'!K$31</f>
        <v>5.3186926944690918E-2</v>
      </c>
    </row>
    <row r="65" spans="2:12" x14ac:dyDescent="0.2">
      <c r="B65" s="164" t="s">
        <v>43</v>
      </c>
      <c r="C65" s="30">
        <f>'Balance sheet'!B9/'Balance sheet'!B$31</f>
        <v>0.16913670782454465</v>
      </c>
      <c r="D65" s="30">
        <f>'Balance sheet'!C9/'Balance sheet'!C$31</f>
        <v>0.17213448572333589</v>
      </c>
      <c r="E65" s="30">
        <f>'Balance sheet'!D9/'Balance sheet'!D$31</f>
        <v>0.161794500723589</v>
      </c>
      <c r="F65" s="30">
        <f>'Balance sheet'!E9/'Balance sheet'!E$31</f>
        <v>0.17121774161381675</v>
      </c>
      <c r="G65" s="30">
        <f>'Balance sheet'!F9/'Balance sheet'!F$31</f>
        <v>0.17964678516141058</v>
      </c>
      <c r="H65" s="30">
        <f>'Balance sheet'!G9/'Balance sheet'!G$31</f>
        <v>9.2320631854231963E-2</v>
      </c>
      <c r="I65" s="30" t="s">
        <v>58</v>
      </c>
      <c r="J65" s="30" t="s">
        <v>58</v>
      </c>
      <c r="K65" s="30" t="s">
        <v>58</v>
      </c>
      <c r="L65" s="30" t="s">
        <v>58</v>
      </c>
    </row>
    <row r="66" spans="2:12" x14ac:dyDescent="0.2">
      <c r="B66" s="163" t="s">
        <v>42</v>
      </c>
      <c r="C66" s="30" t="s">
        <v>58</v>
      </c>
      <c r="D66" s="30" t="s">
        <v>58</v>
      </c>
      <c r="E66" s="30" t="s">
        <v>58</v>
      </c>
      <c r="F66" s="30" t="s">
        <v>58</v>
      </c>
      <c r="G66" s="30" t="s">
        <v>58</v>
      </c>
      <c r="H66" s="30" t="s">
        <v>58</v>
      </c>
      <c r="I66" s="30">
        <f>'Balance sheet'!H10/'Balance sheet'!H$31</f>
        <v>6.4249123234447425E-2</v>
      </c>
      <c r="J66" s="30">
        <f>'Balance sheet'!I10/'Balance sheet'!I$31</f>
        <v>5.4704131029310384E-2</v>
      </c>
      <c r="K66" s="30">
        <f>'Balance sheet'!J10/'Balance sheet'!J$31</f>
        <v>5.3841861634824704E-2</v>
      </c>
      <c r="L66" s="30">
        <f>'Balance sheet'!K10/'Balance sheet'!K$31</f>
        <v>4.5119787045252886E-2</v>
      </c>
    </row>
    <row r="67" spans="2:12" x14ac:dyDescent="0.2">
      <c r="B67" s="163" t="s">
        <v>41</v>
      </c>
      <c r="C67" s="30" t="s">
        <v>58</v>
      </c>
      <c r="D67" s="30" t="s">
        <v>58</v>
      </c>
      <c r="E67" s="30" t="s">
        <v>58</v>
      </c>
      <c r="F67" s="30" t="s">
        <v>58</v>
      </c>
      <c r="G67" s="30" t="s">
        <v>58</v>
      </c>
      <c r="H67" s="30" t="s">
        <v>58</v>
      </c>
      <c r="I67" s="30">
        <f>'Balance sheet'!H11/'Balance sheet'!H$31</f>
        <v>2.4555846920260816E-3</v>
      </c>
      <c r="J67" s="30">
        <f>'Balance sheet'!I11/'Balance sheet'!I$31</f>
        <v>6.0075302459829854E-3</v>
      </c>
      <c r="K67" s="30">
        <f>'Balance sheet'!J11/'Balance sheet'!J$31</f>
        <v>7.3717218235973686E-3</v>
      </c>
      <c r="L67" s="30">
        <f>'Balance sheet'!K11/'Balance sheet'!K$31</f>
        <v>5.1168293404318249E-3</v>
      </c>
    </row>
    <row r="68" spans="2:12" x14ac:dyDescent="0.2">
      <c r="B68" s="164" t="s">
        <v>52</v>
      </c>
      <c r="C68" s="30">
        <f>'Balance sheet'!B12/'Balance sheet'!B$31</f>
        <v>2.4779998635650453E-2</v>
      </c>
      <c r="D68" s="30">
        <f>'Balance sheet'!C12/'Balance sheet'!C$31</f>
        <v>1.086927010271958E-2</v>
      </c>
      <c r="E68" s="30">
        <f>'Balance sheet'!D12/'Balance sheet'!D$31</f>
        <v>8.9980420532902016E-3</v>
      </c>
      <c r="F68" s="30">
        <f>'Balance sheet'!E12/'Balance sheet'!E$31</f>
        <v>7.8257747995692239E-3</v>
      </c>
      <c r="G68" s="30">
        <f>'Balance sheet'!F12/'Balance sheet'!F$31</f>
        <v>6.0219969038993034E-3</v>
      </c>
      <c r="H68" s="30">
        <f>'Balance sheet'!G12/'Balance sheet'!G$31</f>
        <v>1.1387306405934805E-2</v>
      </c>
      <c r="I68" s="30">
        <f>'Balance sheet'!H12/'Balance sheet'!H$31</f>
        <v>4.4559565560264407E-3</v>
      </c>
      <c r="J68" s="30">
        <f>'Balance sheet'!I12/'Balance sheet'!I$31</f>
        <v>7.5908515844576932E-3</v>
      </c>
      <c r="K68" s="30">
        <f>'Balance sheet'!J12/'Balance sheet'!J$31</f>
        <v>6.4207854263102883E-3</v>
      </c>
      <c r="L68" s="30">
        <f>'Balance sheet'!K12/'Balance sheet'!K$31</f>
        <v>4.7323277136941729E-3</v>
      </c>
    </row>
    <row r="69" spans="2:12" x14ac:dyDescent="0.2">
      <c r="B69" s="163" t="s">
        <v>187</v>
      </c>
      <c r="C69" s="30">
        <f>'Balance sheet'!B13/'Balance sheet'!B$31</f>
        <v>1.793266934988744E-2</v>
      </c>
      <c r="D69" s="30">
        <f>'Balance sheet'!C13/'Balance sheet'!C$31</f>
        <v>1.4036834245893479E-2</v>
      </c>
      <c r="E69" s="30">
        <f>'Balance sheet'!D13/'Balance sheet'!D$31</f>
        <v>1.3220396697029029E-2</v>
      </c>
      <c r="F69" s="30">
        <f>'Balance sheet'!E13/'Balance sheet'!E$31</f>
        <v>1.2628136093494476E-2</v>
      </c>
      <c r="G69" s="30">
        <f>'Balance sheet'!F13/'Balance sheet'!F$31</f>
        <v>1.3632569034130052E-2</v>
      </c>
      <c r="H69" s="30">
        <f>'Balance sheet'!G13/'Balance sheet'!G$31</f>
        <v>1.0638227969537476E-2</v>
      </c>
      <c r="I69" s="30">
        <f>'Balance sheet'!H13/'Balance sheet'!H$31</f>
        <v>1.1617544287079009E-2</v>
      </c>
      <c r="J69" s="30">
        <f>'Balance sheet'!I13/'Balance sheet'!I$31</f>
        <v>1.2492329603563609E-2</v>
      </c>
      <c r="K69" s="30">
        <f>'Balance sheet'!J13/'Balance sheet'!J$31</f>
        <v>1.2197134616442555E-2</v>
      </c>
      <c r="L69" s="30">
        <f>'Balance sheet'!K13/'Balance sheet'!K$31</f>
        <v>8.5847382431233354E-3</v>
      </c>
    </row>
    <row r="70" spans="2:12" x14ac:dyDescent="0.2">
      <c r="B70" s="163" t="s">
        <v>188</v>
      </c>
      <c r="C70" s="30" t="s">
        <v>58</v>
      </c>
      <c r="D70" s="30" t="s">
        <v>58</v>
      </c>
      <c r="E70" s="30" t="s">
        <v>58</v>
      </c>
      <c r="F70" s="30">
        <f>'Balance sheet'!E14/'Balance sheet'!E$31</f>
        <v>1.4518766702564715E-2</v>
      </c>
      <c r="G70" s="30">
        <f>'Balance sheet'!F14/'Balance sheet'!F$31</f>
        <v>1.8641443982460832E-2</v>
      </c>
      <c r="H70" s="30">
        <f>'Balance sheet'!G14/'Balance sheet'!G$31</f>
        <v>1.2458357152713439E-2</v>
      </c>
      <c r="I70" s="30">
        <f>'Balance sheet'!H14/'Balance sheet'!H$31</f>
        <v>6.5268543511293768E-3</v>
      </c>
      <c r="J70" s="30">
        <f>'Balance sheet'!I14/'Balance sheet'!I$31</f>
        <v>8.3105431019461981E-3</v>
      </c>
      <c r="K70" s="30">
        <f>'Balance sheet'!J14/'Balance sheet'!J$31</f>
        <v>7.5996321998066689E-3</v>
      </c>
      <c r="L70" s="30">
        <f>'Balance sheet'!K14/'Balance sheet'!K$31</f>
        <v>7.3794735285418519E-3</v>
      </c>
    </row>
    <row r="71" spans="2:12" x14ac:dyDescent="0.2">
      <c r="B71" s="163" t="s">
        <v>189</v>
      </c>
      <c r="C71" s="30">
        <f>'Balance sheet'!B15/'Balance sheet'!B$31</f>
        <v>4.2354526229620028E-2</v>
      </c>
      <c r="D71" s="30">
        <f>'Balance sheet'!C15/'Balance sheet'!C$31</f>
        <v>3.8056020634417848E-2</v>
      </c>
      <c r="E71" s="30">
        <f>'Balance sheet'!D15/'Balance sheet'!D$31</f>
        <v>3.8852472971822594E-2</v>
      </c>
      <c r="F71" s="30">
        <f>'Balance sheet'!E15/'Balance sheet'!E$31</f>
        <v>1.4837860476247458E-2</v>
      </c>
      <c r="G71" s="30">
        <f>'Balance sheet'!F15/'Balance sheet'!F$31</f>
        <v>1.9273632082735592E-2</v>
      </c>
      <c r="H71" s="30">
        <f>'Balance sheet'!G15/'Balance sheet'!G$31</f>
        <v>1.3805384165533193E-2</v>
      </c>
      <c r="I71" s="30">
        <f>'Balance sheet'!H15/'Balance sheet'!H$31</f>
        <v>1.3393515461207532E-2</v>
      </c>
      <c r="J71" s="30">
        <f>'Balance sheet'!I15/'Balance sheet'!I$31</f>
        <v>2.3916485481170598E-2</v>
      </c>
      <c r="K71" s="30">
        <f>'Balance sheet'!J15/'Balance sheet'!J$31</f>
        <v>2.0519792837327005E-2</v>
      </c>
      <c r="L71" s="30">
        <f>'Balance sheet'!K15/'Balance sheet'!K$31</f>
        <v>1.9513457556935818E-2</v>
      </c>
    </row>
    <row r="72" spans="2:12" x14ac:dyDescent="0.2">
      <c r="B72" s="163" t="s">
        <v>44</v>
      </c>
      <c r="C72" s="30" t="s">
        <v>58</v>
      </c>
      <c r="D72" s="30" t="s">
        <v>58</v>
      </c>
      <c r="E72" s="30" t="s">
        <v>58</v>
      </c>
      <c r="F72" s="30" t="s">
        <v>58</v>
      </c>
      <c r="G72" s="30" t="s">
        <v>58</v>
      </c>
      <c r="H72" s="30" t="s">
        <v>58</v>
      </c>
      <c r="I72" s="30">
        <f>'Balance sheet'!H16/'Balance sheet'!H$31</f>
        <v>1.678517160241327E-2</v>
      </c>
      <c r="J72" s="30" t="s">
        <v>58</v>
      </c>
      <c r="K72" s="30" t="s">
        <v>58</v>
      </c>
      <c r="L72" s="30" t="s">
        <v>58</v>
      </c>
    </row>
    <row r="73" spans="2:12" x14ac:dyDescent="0.2">
      <c r="B73" s="26" t="s">
        <v>190</v>
      </c>
      <c r="C73" s="205">
        <f>'Balance sheet'!B17/'Balance sheet'!B$31</f>
        <v>0.40399242786001771</v>
      </c>
      <c r="D73" s="205">
        <f>'Balance sheet'!C17/'Balance sheet'!C$31</f>
        <v>0.38466898954703832</v>
      </c>
      <c r="E73" s="205">
        <f>'Balance sheet'!D17/'Balance sheet'!D$31</f>
        <v>0.37361879628841405</v>
      </c>
      <c r="F73" s="205">
        <f>'Balance sheet'!E17/'Balance sheet'!E$31</f>
        <v>0.39675322085277809</v>
      </c>
      <c r="G73" s="205">
        <f>'Balance sheet'!F17/'Balance sheet'!F$31</f>
        <v>0.39831902805132069</v>
      </c>
      <c r="H73" s="205">
        <f>'Balance sheet'!G17/'Balance sheet'!G$31</f>
        <v>0.25245257479285355</v>
      </c>
      <c r="I73" s="205">
        <f>'Balance sheet'!H17/'Balance sheet'!H$31</f>
        <v>0.25110437196658353</v>
      </c>
      <c r="J73" s="205">
        <f>'Balance sheet'!I17/'Balance sheet'!I$31</f>
        <v>0.22377860773782016</v>
      </c>
      <c r="K73" s="205">
        <f>'Balance sheet'!J17/'Balance sheet'!J$31</f>
        <v>0.22883773567111748</v>
      </c>
      <c r="L73" s="205">
        <f>'Balance sheet'!K17/'Balance sheet'!K$31</f>
        <v>0.24333776989056491</v>
      </c>
    </row>
    <row r="74" spans="2:12" x14ac:dyDescent="0.2">
      <c r="B74" s="17" t="s">
        <v>191</v>
      </c>
      <c r="C74" s="30">
        <f>'Balance sheet'!B18/'Balance sheet'!B$31</f>
        <v>0.33285012620233306</v>
      </c>
      <c r="D74" s="30">
        <f>'Balance sheet'!C18/'Balance sheet'!C$31</f>
        <v>0.26555047739716731</v>
      </c>
      <c r="E74" s="30">
        <f>'Balance sheet'!D18/'Balance sheet'!D$31</f>
        <v>0.25651655741891549</v>
      </c>
      <c r="F74" s="30">
        <f>'Balance sheet'!E18/'Balance sheet'!E$31</f>
        <v>0.25791551992341749</v>
      </c>
      <c r="G74" s="30">
        <f>'Balance sheet'!F18/'Balance sheet'!F$31</f>
        <v>0.26308750942203418</v>
      </c>
      <c r="H74" s="30">
        <f>'Balance sheet'!G18/'Balance sheet'!G$31</f>
        <v>0.21045161544678587</v>
      </c>
      <c r="I74" s="30">
        <f>'Balance sheet'!H18/'Balance sheet'!H$31</f>
        <v>0.1288701104692539</v>
      </c>
      <c r="J74" s="30">
        <f>'Balance sheet'!I18/'Balance sheet'!I$31</f>
        <v>0.15215793819743789</v>
      </c>
      <c r="K74" s="30">
        <f>'Balance sheet'!J18/'Balance sheet'!J$31</f>
        <v>0.14692360287009895</v>
      </c>
      <c r="L74" s="30">
        <f>'Balance sheet'!K18/'Balance sheet'!K$31</f>
        <v>0.13399881691807158</v>
      </c>
    </row>
    <row r="75" spans="2:12" x14ac:dyDescent="0.2">
      <c r="B75" s="163" t="s">
        <v>192</v>
      </c>
      <c r="C75" s="30">
        <f>'Balance sheet'!B19/'Balance sheet'!B$31</f>
        <v>0.24100382017872979</v>
      </c>
      <c r="D75" s="30">
        <f>'Balance sheet'!C19/'Balance sheet'!C$31</f>
        <v>0.16846916150052038</v>
      </c>
      <c r="E75" s="30">
        <f>'Balance sheet'!D19/'Balance sheet'!D$31</f>
        <v>0.16432280582276326</v>
      </c>
      <c r="F75" s="30">
        <f>'Balance sheet'!E19/'Balance sheet'!E$31</f>
        <v>0.16923936021698377</v>
      </c>
      <c r="G75" s="30">
        <f>'Balance sheet'!F19/'Balance sheet'!F$31</f>
        <v>0.17561861226607015</v>
      </c>
      <c r="H75" s="30">
        <f>'Balance sheet'!G19/'Balance sheet'!G$31</f>
        <v>0.14467727204031883</v>
      </c>
      <c r="I75" s="30">
        <f>'Balance sheet'!H19/'Balance sheet'!H$31</f>
        <v>8.9087073879118558E-2</v>
      </c>
      <c r="J75" s="30">
        <f>'Balance sheet'!I19/'Balance sheet'!I$31</f>
        <v>0.10901432564904812</v>
      </c>
      <c r="K75" s="30">
        <f>'Balance sheet'!J19/'Balance sheet'!J$31</f>
        <v>0.10500381160456763</v>
      </c>
      <c r="L75" s="30">
        <f>'Balance sheet'!K19/'Balance sheet'!K$31</f>
        <v>9.3322981366459626E-2</v>
      </c>
    </row>
    <row r="76" spans="2:12" x14ac:dyDescent="0.2">
      <c r="B76" s="17" t="s">
        <v>193</v>
      </c>
      <c r="C76" s="30">
        <f>'Balance sheet'!B20/'Balance sheet'!B$31</f>
        <v>9.1846306023603247E-2</v>
      </c>
      <c r="D76" s="30">
        <f>'Balance sheet'!C20/'Balance sheet'!C$31</f>
        <v>9.7081315896646911E-2</v>
      </c>
      <c r="E76" s="30">
        <f>'Balance sheet'!D20/'Balance sheet'!D$31</f>
        <v>9.2193751596152215E-2</v>
      </c>
      <c r="F76" s="30">
        <f>'Balance sheet'!E20/'Balance sheet'!E$31</f>
        <v>8.8676159706433721E-2</v>
      </c>
      <c r="G76" s="30">
        <f>'Balance sheet'!F20/'Balance sheet'!F$31</f>
        <v>8.7468897155964051E-2</v>
      </c>
      <c r="H76" s="30">
        <f>'Balance sheet'!G20/'Balance sheet'!G$31</f>
        <v>6.577434340646704E-2</v>
      </c>
      <c r="I76" s="30">
        <f>'Balance sheet'!H20/'Balance sheet'!H$31</f>
        <v>3.9783036590135344E-2</v>
      </c>
      <c r="J76" s="30">
        <f>'Balance sheet'!I20/'Balance sheet'!I$31</f>
        <v>4.3136036848205696E-2</v>
      </c>
      <c r="K76" s="30">
        <f>'Balance sheet'!J20/'Balance sheet'!J$31</f>
        <v>4.1919791265531303E-2</v>
      </c>
      <c r="L76" s="30">
        <f>'Balance sheet'!K20/'Balance sheet'!K$31</f>
        <v>4.0675835551611951E-2</v>
      </c>
    </row>
    <row r="77" spans="2:12" x14ac:dyDescent="0.2">
      <c r="B77" s="18" t="s">
        <v>40</v>
      </c>
      <c r="C77" s="30" t="s">
        <v>58</v>
      </c>
      <c r="D77" s="30" t="s">
        <v>58</v>
      </c>
      <c r="E77" s="30" t="s">
        <v>58</v>
      </c>
      <c r="F77" s="30" t="s">
        <v>58</v>
      </c>
      <c r="G77" s="30" t="s">
        <v>58</v>
      </c>
      <c r="H77" s="30">
        <f>'Balance sheet'!G21/'Balance sheet'!G$31</f>
        <v>3.2821463068461829E-2</v>
      </c>
      <c r="I77" s="30">
        <f>'Balance sheet'!H21/'Balance sheet'!H$31</f>
        <v>2.2863224573798975E-2</v>
      </c>
      <c r="J77" s="30">
        <f>'Balance sheet'!I21/'Balance sheet'!I$31</f>
        <v>2.4408905993136415E-2</v>
      </c>
      <c r="K77" s="30">
        <f>'Balance sheet'!J21/'Balance sheet'!J$31</f>
        <v>2.2618140094150561E-2</v>
      </c>
      <c r="L77" s="30">
        <f>'Balance sheet'!K21/'Balance sheet'!K$31</f>
        <v>2.3809523809523808E-2</v>
      </c>
    </row>
    <row r="78" spans="2:12" x14ac:dyDescent="0.2">
      <c r="B78" s="19" t="s">
        <v>56</v>
      </c>
      <c r="C78" s="30">
        <f>'Balance sheet'!B22/'Balance sheet'!B$31</f>
        <v>9.4728494440275604E-2</v>
      </c>
      <c r="D78" s="30">
        <f>'Balance sheet'!C22/'Balance sheet'!C$31</f>
        <v>9.0619485044572151E-2</v>
      </c>
      <c r="E78" s="30">
        <f>'Balance sheet'!D22/'Balance sheet'!D$31</f>
        <v>7.6794075082999916E-2</v>
      </c>
      <c r="F78" s="30">
        <f>'Balance sheet'!E22/'Balance sheet'!E$31</f>
        <v>7.6183638466754411E-2</v>
      </c>
      <c r="G78" s="30">
        <f>'Balance sheet'!F22/'Balance sheet'!F$31</f>
        <v>7.4144317196326831E-2</v>
      </c>
      <c r="H78" s="30">
        <f>'Balance sheet'!G22/'Balance sheet'!G$31</f>
        <v>5.7245362613100988E-2</v>
      </c>
      <c r="I78" s="30">
        <f>'Balance sheet'!H22/'Balance sheet'!H$31</f>
        <v>4.5431522526623538E-2</v>
      </c>
      <c r="J78" s="30">
        <f>'Balance sheet'!I22/'Balance sheet'!I$31</f>
        <v>4.1098173498685615E-2</v>
      </c>
      <c r="K78" s="30">
        <f>'Balance sheet'!J22/'Balance sheet'!J$31</f>
        <v>4.5629229112799916E-2</v>
      </c>
      <c r="L78" s="30">
        <f>'Balance sheet'!K22/'Balance sheet'!K$31</f>
        <v>4.2635314995563445E-2</v>
      </c>
    </row>
    <row r="79" spans="2:12" x14ac:dyDescent="0.2">
      <c r="B79" s="17" t="s">
        <v>194</v>
      </c>
      <c r="C79" s="30">
        <f>'Balance sheet'!B23/'Balance sheet'!B$31</f>
        <v>1.8418718875775973E-2</v>
      </c>
      <c r="D79" s="30">
        <f>'Balance sheet'!C23/'Balance sheet'!C$31</f>
        <v>1.5693017783610118E-2</v>
      </c>
      <c r="E79" s="30">
        <f>'Balance sheet'!D23/'Balance sheet'!D$31</f>
        <v>2.5827870945773389E-2</v>
      </c>
      <c r="F79" s="30">
        <f>'Balance sheet'!E23/'Balance sheet'!E$31</f>
        <v>3.7038809780224162E-2</v>
      </c>
      <c r="G79" s="30">
        <f>'Balance sheet'!F23/'Balance sheet'!F$31</f>
        <v>3.7817816357461849E-2</v>
      </c>
      <c r="H79" s="30">
        <f>'Balance sheet'!G23/'Balance sheet'!G$31</f>
        <v>4.510897777076886E-2</v>
      </c>
      <c r="I79" s="30">
        <f>'Balance sheet'!H23/'Balance sheet'!H$31</f>
        <v>4.8451314667470234E-2</v>
      </c>
      <c r="J79" s="30">
        <f>'Balance sheet'!I23/'Balance sheet'!I$31</f>
        <v>7.4620646813281719E-2</v>
      </c>
      <c r="K79" s="30">
        <f>'Balance sheet'!J23/'Balance sheet'!J$31</f>
        <v>6.4726546843441285E-2</v>
      </c>
      <c r="L79" s="30">
        <f>'Balance sheet'!K23/'Balance sheet'!K$31</f>
        <v>5.5501330967169478E-2</v>
      </c>
    </row>
    <row r="80" spans="2:12" x14ac:dyDescent="0.2">
      <c r="B80" s="17" t="s">
        <v>188</v>
      </c>
      <c r="C80" s="30" t="s">
        <v>58</v>
      </c>
      <c r="D80" s="30" t="s">
        <v>58</v>
      </c>
      <c r="E80" s="30" t="s">
        <v>58</v>
      </c>
      <c r="F80" s="30">
        <f>'Balance sheet'!E24/'Balance sheet'!E$31</f>
        <v>1.703960751465837E-2</v>
      </c>
      <c r="G80" s="30">
        <f>'Balance sheet'!F24/'Balance sheet'!F$31</f>
        <v>2.1688914824810952E-2</v>
      </c>
      <c r="H80" s="30">
        <f>'Balance sheet'!G24/'Balance sheet'!G$31</f>
        <v>1.6243174515563091E-2</v>
      </c>
      <c r="I80" s="30">
        <f>'Balance sheet'!H24/'Balance sheet'!H$31</f>
        <v>7.3731655243602975E-3</v>
      </c>
      <c r="J80" s="30">
        <f>'Balance sheet'!I24/'Balance sheet'!I$31</f>
        <v>6.9999469700987114E-3</v>
      </c>
      <c r="K80" s="30">
        <f>'Balance sheet'!J24/'Balance sheet'!J$31</f>
        <v>6.7980163938291304E-3</v>
      </c>
      <c r="L80" s="30">
        <f>'Balance sheet'!K24/'Balance sheet'!K$31</f>
        <v>6.2259686483288968E-3</v>
      </c>
    </row>
    <row r="81" spans="2:12" x14ac:dyDescent="0.2">
      <c r="B81" s="17" t="s">
        <v>195</v>
      </c>
      <c r="C81" s="30">
        <f>'Balance sheet'!B25/'Balance sheet'!B$31</f>
        <v>5.6918957636946585E-2</v>
      </c>
      <c r="D81" s="30">
        <f>'Balance sheet'!C25/'Balance sheet'!C$31</f>
        <v>4.3639983709670122E-2</v>
      </c>
      <c r="E81" s="30">
        <f>'Balance sheet'!D25/'Balance sheet'!D$31</f>
        <v>4.4470928747765384E-2</v>
      </c>
      <c r="F81" s="30">
        <f>'Balance sheet'!E25/'Balance sheet'!E$31</f>
        <v>3.8785848191137173E-2</v>
      </c>
      <c r="G81" s="30">
        <f>'Balance sheet'!F25/'Balance sheet'!F$31</f>
        <v>4.227555296196335E-2</v>
      </c>
      <c r="H81" s="30">
        <f>'Balance sheet'!G25/'Balance sheet'!G$31</f>
        <v>3.405021453869253E-2</v>
      </c>
      <c r="I81" s="30">
        <f>'Balance sheet'!H25/'Balance sheet'!H$31</f>
        <v>5.3881811362368644E-2</v>
      </c>
      <c r="J81" s="30">
        <f>'Balance sheet'!I25/'Balance sheet'!I$31</f>
        <v>5.5832910356739721E-2</v>
      </c>
      <c r="K81" s="30">
        <f>'Balance sheet'!J25/'Balance sheet'!J$31</f>
        <v>4.9165769433289062E-2</v>
      </c>
      <c r="L81" s="30">
        <f>'Balance sheet'!K25/'Balance sheet'!K$31</f>
        <v>4.92162082224194E-2</v>
      </c>
    </row>
    <row r="82" spans="2:12" x14ac:dyDescent="0.2">
      <c r="B82" s="17" t="s">
        <v>196</v>
      </c>
      <c r="C82" s="30">
        <f>'Balance sheet'!B26/'Balance sheet'!B$31</f>
        <v>0.26055665461491234</v>
      </c>
      <c r="D82" s="30">
        <f>'Balance sheet'!C26/'Balance sheet'!C$31</f>
        <v>0.28979591836734692</v>
      </c>
      <c r="E82" s="30">
        <f>'Balance sheet'!D26/'Balance sheet'!D$31</f>
        <v>0.30815527368689877</v>
      </c>
      <c r="F82" s="30">
        <f>'Balance sheet'!E26/'Balance sheet'!E$31</f>
        <v>0.29347054365601694</v>
      </c>
      <c r="G82" s="30">
        <f>'Balance sheet'!F26/'Balance sheet'!F$31</f>
        <v>0.29392694174954004</v>
      </c>
      <c r="H82" s="30">
        <f>'Balance sheet'!G26/'Balance sheet'!G$31</f>
        <v>0.38256881336776466</v>
      </c>
      <c r="I82" s="30">
        <f>'Balance sheet'!H26/'Balance sheet'!H$31</f>
        <v>0.34471151688454904</v>
      </c>
      <c r="J82" s="30">
        <f>'Balance sheet'!I26/'Balance sheet'!I$31</f>
        <v>0.42153468534329286</v>
      </c>
      <c r="K82" s="30">
        <f>'Balance sheet'!J26/'Balance sheet'!J$31</f>
        <v>0.43970198753566009</v>
      </c>
      <c r="L82" s="30">
        <f>'Balance sheet'!K26/'Balance sheet'!K$31</f>
        <v>0.44497190180419993</v>
      </c>
    </row>
    <row r="83" spans="2:12" x14ac:dyDescent="0.2">
      <c r="B83" s="17" t="s">
        <v>197</v>
      </c>
      <c r="C83" s="30">
        <f>'Balance sheet'!B27/'Balance sheet'!B$31</f>
        <v>2.6468381199263251E-2</v>
      </c>
      <c r="D83" s="30">
        <f>'Balance sheet'!C27/'Balance sheet'!C$31</f>
        <v>3.155798904927825E-2</v>
      </c>
      <c r="E83" s="30">
        <f>'Balance sheet'!D27/'Balance sheet'!D$31</f>
        <v>3.99080616327573E-2</v>
      </c>
      <c r="F83" s="30">
        <f>'Balance sheet'!E27/'Balance sheet'!E$31</f>
        <v>2.9851222528020423E-2</v>
      </c>
      <c r="G83" s="30">
        <f>'Balance sheet'!F27/'Balance sheet'!F$31</f>
        <v>2.5020059814720257E-2</v>
      </c>
      <c r="H83" s="30">
        <f>'Balance sheet'!G27/'Balance sheet'!G$31</f>
        <v>0.10010710507467786</v>
      </c>
      <c r="I83" s="30">
        <f>'Balance sheet'!H27/'Balance sheet'!H$31</f>
        <v>8.8086887947118372E-2</v>
      </c>
      <c r="J83" s="30">
        <f>'Balance sheet'!I27/'Balance sheet'!I$31</f>
        <v>9.4779585003143915E-2</v>
      </c>
      <c r="K83" s="30">
        <f>'Balance sheet'!J27/'Balance sheet'!J$31</f>
        <v>8.7894815431890164E-2</v>
      </c>
      <c r="L83" s="30">
        <f>'Balance sheet'!K27/'Balance sheet'!K$31</f>
        <v>8.1603076013013906E-2</v>
      </c>
    </row>
    <row r="84" spans="2:12" x14ac:dyDescent="0.2">
      <c r="B84" s="17" t="s">
        <v>198</v>
      </c>
      <c r="C84" s="30">
        <f>'Balance sheet'!B28/'Balance sheet'!B$31</f>
        <v>4.7070059349205266E-2</v>
      </c>
      <c r="D84" s="30">
        <f>'Balance sheet'!C28/'Balance sheet'!C$31</f>
        <v>4.6943300601837185E-2</v>
      </c>
      <c r="E84" s="30">
        <f>'Balance sheet'!D28/'Balance sheet'!D$31</f>
        <v>3.9031242019238951E-2</v>
      </c>
      <c r="F84" s="30">
        <f>'Balance sheet'!E28/'Balance sheet'!E$31</f>
        <v>2.2200949303976706E-2</v>
      </c>
      <c r="G84" s="30">
        <f>'Balance sheet'!F28/'Balance sheet'!F$31</f>
        <v>1.9338471887891978E-2</v>
      </c>
      <c r="H84" s="30">
        <f>'Balance sheet'!G28/'Balance sheet'!G$31</f>
        <v>1.3627970851649615E-2</v>
      </c>
      <c r="I84" s="30">
        <f>'Balance sheet'!H28/'Balance sheet'!H$31</f>
        <v>1.4021837392848671E-2</v>
      </c>
      <c r="J84" s="30">
        <f>'Balance sheet'!I28/'Balance sheet'!I$31</f>
        <v>1.3810501435595184E-2</v>
      </c>
      <c r="K84" s="30">
        <f>'Balance sheet'!J28/'Balance sheet'!J$31</f>
        <v>1.2707968218290986E-2</v>
      </c>
      <c r="L84" s="30">
        <f>'Balance sheet'!K28/'Balance sheet'!K$31</f>
        <v>1.2023070097604258E-2</v>
      </c>
    </row>
    <row r="85" spans="2:12" x14ac:dyDescent="0.2">
      <c r="B85" s="17" t="s">
        <v>45</v>
      </c>
      <c r="C85" s="30" t="s">
        <v>58</v>
      </c>
      <c r="D85" s="30" t="s">
        <v>58</v>
      </c>
      <c r="E85" s="30" t="s">
        <v>58</v>
      </c>
      <c r="F85" s="30" t="s">
        <v>58</v>
      </c>
      <c r="G85" s="30" t="s">
        <v>58</v>
      </c>
      <c r="H85" s="30" t="s">
        <v>58</v>
      </c>
      <c r="I85" s="30">
        <f>'Balance sheet'!H29/'Balance sheet'!H$31</f>
        <v>8.4291310564143337E-2</v>
      </c>
      <c r="J85" s="30" t="s">
        <v>58</v>
      </c>
      <c r="K85" s="30" t="s">
        <v>58</v>
      </c>
      <c r="L85" s="30" t="s">
        <v>58</v>
      </c>
    </row>
    <row r="86" spans="2:12" x14ac:dyDescent="0.2">
      <c r="B86" s="26" t="s">
        <v>63</v>
      </c>
      <c r="C86" s="205">
        <f>'Balance sheet'!B30/'Balance sheet'!B$31</f>
        <v>0.59600757213998223</v>
      </c>
      <c r="D86" s="205">
        <f>'Balance sheet'!C30/'Balance sheet'!C$31</f>
        <v>0.61533101045296168</v>
      </c>
      <c r="E86" s="205">
        <f>'Balance sheet'!D30/'Balance sheet'!D$31</f>
        <v>0.6263812037115859</v>
      </c>
      <c r="F86" s="205">
        <f>'Balance sheet'!E30/'Balance sheet'!E$31</f>
        <v>0.60324677914722191</v>
      </c>
      <c r="G86" s="205">
        <f>'Balance sheet'!F30/'Balance sheet'!F$31</f>
        <v>0.60168097194867931</v>
      </c>
      <c r="H86" s="205">
        <f>'Balance sheet'!G30/'Balance sheet'!G$31</f>
        <v>0.74754742520714645</v>
      </c>
      <c r="I86" s="205">
        <f>'Balance sheet'!H30/'Balance sheet'!H$31</f>
        <v>0.74889562803341647</v>
      </c>
      <c r="J86" s="205">
        <f>'Balance sheet'!I30/'Balance sheet'!I$31</f>
        <v>0.77622139226217979</v>
      </c>
      <c r="K86" s="205">
        <f>'Balance sheet'!J30/'Balance sheet'!J$31</f>
        <v>0.77116226432888257</v>
      </c>
      <c r="L86" s="205">
        <f>'Balance sheet'!K30/'Balance sheet'!K$31</f>
        <v>0.75666223010943512</v>
      </c>
    </row>
    <row r="87" spans="2:12" ht="15.75" thickBot="1" x14ac:dyDescent="0.25">
      <c r="B87" s="206" t="s">
        <v>199</v>
      </c>
      <c r="C87" s="207">
        <f>'Balance sheet'!B31/'Balance sheet'!B$31</f>
        <v>1</v>
      </c>
      <c r="D87" s="207">
        <f>'Balance sheet'!C31/'Balance sheet'!C$31</f>
        <v>1</v>
      </c>
      <c r="E87" s="207">
        <f>'Balance sheet'!D31/'Balance sheet'!D$31</f>
        <v>1</v>
      </c>
      <c r="F87" s="207">
        <f>'Balance sheet'!E31/'Balance sheet'!E$31</f>
        <v>1</v>
      </c>
      <c r="G87" s="207">
        <f>'Balance sheet'!F31/'Balance sheet'!F$31</f>
        <v>1</v>
      </c>
      <c r="H87" s="207">
        <f>'Balance sheet'!G31/'Balance sheet'!G$31</f>
        <v>1</v>
      </c>
      <c r="I87" s="207">
        <f>'Balance sheet'!H31/'Balance sheet'!H$31</f>
        <v>1</v>
      </c>
      <c r="J87" s="207">
        <f>'Balance sheet'!I31/'Balance sheet'!I$31</f>
        <v>1</v>
      </c>
      <c r="K87" s="207">
        <f>'Balance sheet'!J31/'Balance sheet'!J$31</f>
        <v>1</v>
      </c>
      <c r="L87" s="207">
        <f>'Balance sheet'!K31/'Balance sheet'!K$31</f>
        <v>1</v>
      </c>
    </row>
    <row r="88" spans="2:12" ht="15.75" thickTop="1" x14ac:dyDescent="0.2">
      <c r="B88" s="15"/>
      <c r="C88" s="129"/>
      <c r="D88" s="129"/>
      <c r="E88" s="129"/>
      <c r="F88" s="129"/>
      <c r="G88" s="129"/>
      <c r="H88" s="129"/>
      <c r="I88" s="129"/>
      <c r="J88" s="129"/>
      <c r="K88" s="129"/>
      <c r="L88" s="129"/>
    </row>
    <row r="89" spans="2:12" x14ac:dyDescent="0.2">
      <c r="B89" s="13" t="s">
        <v>54</v>
      </c>
      <c r="C89" s="30"/>
      <c r="D89" s="30"/>
      <c r="E89" s="30"/>
      <c r="F89" s="30"/>
      <c r="G89" s="30"/>
      <c r="H89" s="30"/>
      <c r="I89" s="30"/>
      <c r="J89" s="30"/>
      <c r="K89" s="30"/>
      <c r="L89" s="30"/>
    </row>
    <row r="90" spans="2:12" x14ac:dyDescent="0.2">
      <c r="B90" s="14" t="s">
        <v>53</v>
      </c>
      <c r="C90" s="30"/>
      <c r="D90" s="30"/>
      <c r="E90" s="30"/>
      <c r="F90" s="30"/>
      <c r="G90" s="30"/>
      <c r="H90" s="30"/>
      <c r="I90" s="30"/>
      <c r="J90" s="30"/>
      <c r="K90" s="30"/>
      <c r="L90" s="30"/>
    </row>
    <row r="91" spans="2:12" x14ac:dyDescent="0.2">
      <c r="B91" s="163" t="s">
        <v>200</v>
      </c>
      <c r="C91" s="30">
        <f>'Balance sheet'!B34/'Balance sheet'!B$31</f>
        <v>4.3352206835391226E-2</v>
      </c>
      <c r="D91" s="30">
        <f>'Balance sheet'!C34/'Balance sheet'!C$31</f>
        <v>2.5765871758903117E-2</v>
      </c>
      <c r="E91" s="30">
        <f>'Balance sheet'!D34/'Balance sheet'!D$31</f>
        <v>2.7538946113901421E-2</v>
      </c>
      <c r="F91" s="30">
        <f>'Balance sheet'!E34/'Balance sheet'!E$31</f>
        <v>3.3656415779187106E-2</v>
      </c>
      <c r="G91" s="30">
        <f>'Balance sheet'!F34/'Balance sheet'!F$31</f>
        <v>2.4687755813293782E-2</v>
      </c>
      <c r="H91" s="30">
        <f>'Balance sheet'!G34/'Balance sheet'!G$31</f>
        <v>1.8654681411684311E-2</v>
      </c>
      <c r="I91" s="30">
        <f>'Balance sheet'!H34/'Balance sheet'!H$31</f>
        <v>2.0503811606003682E-2</v>
      </c>
      <c r="J91" s="30">
        <f>'Balance sheet'!I34/'Balance sheet'!I$31</f>
        <v>1.7340777721380898E-2</v>
      </c>
      <c r="K91" s="30">
        <f>'Balance sheet'!J34/'Balance sheet'!J$31</f>
        <v>1.7258316763987015E-2</v>
      </c>
      <c r="L91" s="30">
        <f>'Balance sheet'!K34/'Balance sheet'!K$31</f>
        <v>1.6784974859509021E-2</v>
      </c>
    </row>
    <row r="92" spans="2:12" x14ac:dyDescent="0.2">
      <c r="B92" s="163" t="s">
        <v>201</v>
      </c>
      <c r="C92" s="30">
        <f>'Balance sheet'!B35/'Balance sheet'!B$31</f>
        <v>4.8869295313459307E-2</v>
      </c>
      <c r="D92" s="30">
        <f>'Balance sheet'!C35/'Balance sheet'!C$31</f>
        <v>5.8473234082990183E-2</v>
      </c>
      <c r="E92" s="30">
        <f>'Balance sheet'!D35/'Balance sheet'!D$31</f>
        <v>6.39567549161488E-2</v>
      </c>
      <c r="F92" s="30">
        <f>'Balance sheet'!E35/'Balance sheet'!E$31</f>
        <v>5.5737704918032788E-2</v>
      </c>
      <c r="G92" s="30">
        <f>'Balance sheet'!F35/'Balance sheet'!F$31</f>
        <v>8.2727486403903358E-2</v>
      </c>
      <c r="H92" s="30">
        <f>'Balance sheet'!G35/'Balance sheet'!G$31</f>
        <v>5.7803886008660398E-2</v>
      </c>
      <c r="I92" s="30">
        <f>'Balance sheet'!H35/'Balance sheet'!H$31</f>
        <v>4.5623865975085109E-2</v>
      </c>
      <c r="J92" s="30">
        <f>'Balance sheet'!I35/'Balance sheet'!I$31</f>
        <v>5.1416277149415532E-2</v>
      </c>
      <c r="K92" s="30">
        <f>'Balance sheet'!J35/'Balance sheet'!J$31</f>
        <v>3.7408737612285158E-2</v>
      </c>
      <c r="L92" s="30">
        <f>'Balance sheet'!K35/'Balance sheet'!K$31</f>
        <v>4.7515527950310561E-2</v>
      </c>
    </row>
    <row r="93" spans="2:12" x14ac:dyDescent="0.2">
      <c r="B93" s="163" t="s">
        <v>202</v>
      </c>
      <c r="C93" s="30">
        <f>'Balance sheet'!B36/'Balance sheet'!B$31</f>
        <v>5.8530595538576986E-2</v>
      </c>
      <c r="D93" s="30">
        <f>'Balance sheet'!C36/'Balance sheet'!C$31</f>
        <v>5.4554504728720754E-2</v>
      </c>
      <c r="E93" s="30">
        <f>'Balance sheet'!D36/'Balance sheet'!D$31</f>
        <v>5.2856048352770919E-2</v>
      </c>
      <c r="F93" s="30">
        <f>'Balance sheet'!E36/'Balance sheet'!E$31</f>
        <v>5.1461848350684056E-2</v>
      </c>
      <c r="G93" s="30">
        <f>'Balance sheet'!F36/'Balance sheet'!F$31</f>
        <v>5.3152430276947014E-2</v>
      </c>
      <c r="H93" s="30">
        <f>'Balance sheet'!G36/'Balance sheet'!G$31</f>
        <v>3.2170947584222044E-2</v>
      </c>
      <c r="I93" s="30">
        <f>'Balance sheet'!H36/'Balance sheet'!H$31</f>
        <v>2.5857370921517461E-2</v>
      </c>
      <c r="J93" s="30">
        <f>'Balance sheet'!I36/'Balance sheet'!I$31</f>
        <v>2.9961894228074031E-2</v>
      </c>
      <c r="K93" s="30">
        <f>'Balance sheet'!J36/'Balance sheet'!J$31</f>
        <v>3.1836721862892263E-2</v>
      </c>
      <c r="L93" s="30">
        <f>'Balance sheet'!K36/'Balance sheet'!K$31</f>
        <v>3.0553090801538008E-2</v>
      </c>
    </row>
    <row r="94" spans="2:12" x14ac:dyDescent="0.2">
      <c r="B94" s="163" t="s">
        <v>203</v>
      </c>
      <c r="C94" s="30">
        <f>'Balance sheet'!B37/'Balance sheet'!B$31</f>
        <v>3.4373081383450438E-2</v>
      </c>
      <c r="D94" s="30">
        <f>'Balance sheet'!C37/'Balance sheet'!C$31</f>
        <v>3.2218652427711658E-2</v>
      </c>
      <c r="E94" s="30">
        <f>'Balance sheet'!D37/'Balance sheet'!D$31</f>
        <v>3.0450327743253597E-2</v>
      </c>
      <c r="F94" s="30">
        <f>'Balance sheet'!E37/'Balance sheet'!E$31</f>
        <v>2.9069442782497706E-2</v>
      </c>
      <c r="G94" s="30">
        <f>'Balance sheet'!F37/'Balance sheet'!F$31</f>
        <v>2.6827469383454504E-2</v>
      </c>
      <c r="H94" s="30">
        <f>'Balance sheet'!G37/'Balance sheet'!G$31</f>
        <v>2.2380361003239434E-2</v>
      </c>
      <c r="I94" s="30">
        <f>'Balance sheet'!H37/'Balance sheet'!H$31</f>
        <v>1.9593385949952236E-2</v>
      </c>
      <c r="J94" s="30">
        <f>'Balance sheet'!I37/'Balance sheet'!I$31</f>
        <v>2.4272543389822803E-2</v>
      </c>
      <c r="K94" s="30">
        <f>'Balance sheet'!J37/'Balance sheet'!J$31</f>
        <v>2.7357104123606014E-2</v>
      </c>
      <c r="L94" s="30">
        <f>'Balance sheet'!K37/'Balance sheet'!K$31</f>
        <v>2.5887311446317656E-2</v>
      </c>
    </row>
    <row r="95" spans="2:12" x14ac:dyDescent="0.2">
      <c r="B95" s="163" t="s">
        <v>204</v>
      </c>
      <c r="C95" s="30">
        <f>'Balance sheet'!B38/'Balance sheet'!B$31</f>
        <v>0.10127737226277372</v>
      </c>
      <c r="D95" s="30">
        <f>'Balance sheet'!C38/'Balance sheet'!C$31</f>
        <v>9.9742069776912981E-2</v>
      </c>
      <c r="E95" s="30">
        <f>'Balance sheet'!D38/'Balance sheet'!D$31</f>
        <v>9.393887801140717E-2</v>
      </c>
      <c r="F95" s="30">
        <f>'Balance sheet'!E38/'Balance sheet'!E$31</f>
        <v>9.2154281839575608E-2</v>
      </c>
      <c r="G95" s="30">
        <f>'Balance sheet'!F38/'Balance sheet'!F$31</f>
        <v>9.0492053071380515E-2</v>
      </c>
      <c r="H95" s="30">
        <f>'Balance sheet'!G38/'Balance sheet'!G$31</f>
        <v>7.9021204176440832E-2</v>
      </c>
      <c r="I95" s="30">
        <f>'Balance sheet'!H38/'Balance sheet'!H$31</f>
        <v>7.6809150418988142E-2</v>
      </c>
      <c r="J95" s="30">
        <f>'Balance sheet'!I38/'Balance sheet'!I$31</f>
        <v>9.4832614904432538E-2</v>
      </c>
      <c r="K95" s="30">
        <f>'Balance sheet'!J38/'Balance sheet'!J$31</f>
        <v>9.4559229191389704E-2</v>
      </c>
      <c r="L95" s="30">
        <f>'Balance sheet'!K38/'Balance sheet'!K$31</f>
        <v>9.9460218870156755E-2</v>
      </c>
    </row>
    <row r="96" spans="2:12" x14ac:dyDescent="0.2">
      <c r="B96" s="165" t="s">
        <v>39</v>
      </c>
      <c r="C96" s="30" t="s">
        <v>58</v>
      </c>
      <c r="D96" s="30" t="s">
        <v>58</v>
      </c>
      <c r="E96" s="30" t="s">
        <v>58</v>
      </c>
      <c r="F96" s="30" t="s">
        <v>58</v>
      </c>
      <c r="G96" s="30" t="s">
        <v>58</v>
      </c>
      <c r="H96" s="30">
        <f>'Balance sheet'!G39/'Balance sheet'!G$31</f>
        <v>9.0677915984939579E-3</v>
      </c>
      <c r="I96" s="30">
        <f>'Balance sheet'!H39/'Balance sheet'!H$31</f>
        <v>6.6358489719242682E-3</v>
      </c>
      <c r="J96" s="30">
        <f>'Balance sheet'!I39/'Balance sheet'!I$31</f>
        <v>7.3787319793031875E-3</v>
      </c>
      <c r="K96" s="30">
        <f>'Balance sheet'!J39/'Balance sheet'!J$31</f>
        <v>6.8687472002389128E-3</v>
      </c>
      <c r="L96" s="30">
        <f>'Balance sheet'!K39/'Balance sheet'!K$31</f>
        <v>6.0632948831706593E-3</v>
      </c>
    </row>
    <row r="97" spans="2:12" x14ac:dyDescent="0.2">
      <c r="B97" s="163" t="s">
        <v>205</v>
      </c>
      <c r="C97" s="30">
        <f>'Balance sheet'!B40/'Balance sheet'!B$31</f>
        <v>5.1111944880278329E-2</v>
      </c>
      <c r="D97" s="30">
        <f>'Balance sheet'!C40/'Balance sheet'!C$31</f>
        <v>3.9395447757817094E-2</v>
      </c>
      <c r="E97" s="30">
        <f>'Balance sheet'!D40/'Balance sheet'!D$31</f>
        <v>4.0061292244828468E-2</v>
      </c>
      <c r="F97" s="30">
        <f>'Balance sheet'!E40/'Balance sheet'!E$31</f>
        <v>3.597782298272905E-2</v>
      </c>
      <c r="G97" s="30">
        <f>'Balance sheet'!F40/'Balance sheet'!F$31</f>
        <v>3.194170901516441E-2</v>
      </c>
      <c r="H97" s="30">
        <f>'Balance sheet'!G40/'Balance sheet'!G$31</f>
        <v>2.8635823033504832E-2</v>
      </c>
      <c r="I97" s="30">
        <f>'Balance sheet'!H40/'Balance sheet'!H$31</f>
        <v>3.6109276724519301E-2</v>
      </c>
      <c r="J97" s="30">
        <f>'Balance sheet'!I40/'Balance sheet'!I$31</f>
        <v>2.9484625116476391E-2</v>
      </c>
      <c r="K97" s="30">
        <f>'Balance sheet'!J40/'Balance sheet'!J$31</f>
        <v>3.230826057229081E-2</v>
      </c>
      <c r="L97" s="30">
        <f>'Balance sheet'!K40/'Balance sheet'!K$31</f>
        <v>2.6035196687370601E-2</v>
      </c>
    </row>
    <row r="98" spans="2:12" x14ac:dyDescent="0.2">
      <c r="B98" s="165" t="s">
        <v>206</v>
      </c>
      <c r="C98" s="30" t="s">
        <v>58</v>
      </c>
      <c r="D98" s="30" t="s">
        <v>58</v>
      </c>
      <c r="E98" s="30" t="s">
        <v>58</v>
      </c>
      <c r="F98" s="30" t="s">
        <v>58</v>
      </c>
      <c r="G98" s="30" t="s">
        <v>58</v>
      </c>
      <c r="H98" s="30" t="s">
        <v>58</v>
      </c>
      <c r="I98" s="30">
        <f>'Balance sheet'!H41/'Balance sheet'!H$31</f>
        <v>2.4485320989158239E-2</v>
      </c>
      <c r="J98" s="30" t="s">
        <v>58</v>
      </c>
      <c r="K98" s="30" t="s">
        <v>58</v>
      </c>
      <c r="L98" s="30" t="s">
        <v>58</v>
      </c>
    </row>
    <row r="99" spans="2:12" x14ac:dyDescent="0.2">
      <c r="B99" s="26" t="s">
        <v>207</v>
      </c>
      <c r="C99" s="205">
        <f>'Balance sheet'!B42/'Balance sheet'!B$31</f>
        <v>0.33751449621392998</v>
      </c>
      <c r="D99" s="205">
        <f>'Balance sheet'!C42/'Balance sheet'!C$31</f>
        <v>0.31014978053305581</v>
      </c>
      <c r="E99" s="205">
        <f>'Balance sheet'!D42/'Balance sheet'!D$31</f>
        <v>0.30880224738231038</v>
      </c>
      <c r="F99" s="205">
        <f>'Balance sheet'!E42/'Balance sheet'!E$31</f>
        <v>0.2980575166527063</v>
      </c>
      <c r="G99" s="205">
        <f>'Balance sheet'!F42/'Balance sheet'!F$31</f>
        <v>0.30982890396414359</v>
      </c>
      <c r="H99" s="205">
        <f>'Balance sheet'!G42/'Balance sheet'!G$31</f>
        <v>0.2477346948162458</v>
      </c>
      <c r="I99" s="205">
        <f>'Balance sheet'!H42/'Balance sheet'!H$31</f>
        <v>0.25561803155714846</v>
      </c>
      <c r="J99" s="205">
        <f>'Balance sheet'!I42/'Balance sheet'!I$31</f>
        <v>0.25468746448890539</v>
      </c>
      <c r="K99" s="205">
        <f>'Balance sheet'!J42/'Balance sheet'!J$31</f>
        <v>0.24759711732668988</v>
      </c>
      <c r="L99" s="205">
        <f>'Balance sheet'!K42/'Balance sheet'!K$31</f>
        <v>0.25229961549837326</v>
      </c>
    </row>
    <row r="100" spans="2:12" x14ac:dyDescent="0.2">
      <c r="B100" s="17" t="s">
        <v>208</v>
      </c>
      <c r="C100" s="30">
        <f>'Balance sheet'!B43/'Balance sheet'!B$31</f>
        <v>0.29837471860290604</v>
      </c>
      <c r="D100" s="30">
        <f>'Balance sheet'!C43/'Balance sheet'!C$31</f>
        <v>0.30252952622290602</v>
      </c>
      <c r="E100" s="30">
        <f>'Balance sheet'!D43/'Balance sheet'!D$31</f>
        <v>0.29501149229590534</v>
      </c>
      <c r="F100" s="30">
        <f>'Balance sheet'!E43/'Balance sheet'!E$31</f>
        <v>0.31779346655498386</v>
      </c>
      <c r="G100" s="30">
        <f>'Balance sheet'!F43/'Balance sheet'!F$31</f>
        <v>0.28857765782413825</v>
      </c>
      <c r="H100" s="30">
        <f>'Balance sheet'!G43/'Balance sheet'!G$31</f>
        <v>0.35549685584182616</v>
      </c>
      <c r="I100" s="30">
        <f>'Balance sheet'!H43/'Balance sheet'!H$31</f>
        <v>0.34760949150803677</v>
      </c>
      <c r="J100" s="30">
        <f>'Balance sheet'!I43/'Balance sheet'!I$31</f>
        <v>0.34027772516874871</v>
      </c>
      <c r="K100" s="30">
        <f>'Balance sheet'!J43/'Balance sheet'!J$31</f>
        <v>0.36299835747349557</v>
      </c>
      <c r="L100" s="30">
        <f>'Balance sheet'!K43/'Balance sheet'!K$31</f>
        <v>0.3706078083407276</v>
      </c>
    </row>
    <row r="101" spans="2:12" ht="30" x14ac:dyDescent="0.2">
      <c r="B101" s="17" t="s">
        <v>209</v>
      </c>
      <c r="C101" s="30">
        <f>'Balance sheet'!B44/'Balance sheet'!B$31</f>
        <v>0.15571491916228938</v>
      </c>
      <c r="D101" s="30">
        <f>'Balance sheet'!C44/'Balance sheet'!C$31</f>
        <v>0.14936422462554866</v>
      </c>
      <c r="E101" s="30">
        <f>'Balance sheet'!D44/'Balance sheet'!D$31</f>
        <v>0.14531369711415681</v>
      </c>
      <c r="F101" s="30">
        <f>'Balance sheet'!E44/'Balance sheet'!E$31</f>
        <v>0.13338119739938575</v>
      </c>
      <c r="G101" s="30">
        <f>'Balance sheet'!F44/'Balance sheet'!F$31</f>
        <v>0.1378007959086083</v>
      </c>
      <c r="H101" s="30">
        <f>'Balance sheet'!G44/'Balance sheet'!G$31</f>
        <v>0.11263774172564017</v>
      </c>
      <c r="I101" s="30">
        <f>'Balance sheet'!H44/'Balance sheet'!H$31</f>
        <v>0.11017432727878901</v>
      </c>
      <c r="J101" s="30">
        <f>'Balance sheet'!I44/'Balance sheet'!I$31</f>
        <v>0.10935523215733214</v>
      </c>
      <c r="K101" s="30">
        <f>'Balance sheet'!J44/'Balance sheet'!J$31</f>
        <v>7.5414757589808479E-2</v>
      </c>
      <c r="L101" s="30">
        <f>'Balance sheet'!K44/'Balance sheet'!K$31</f>
        <v>7.9917184265010349E-2</v>
      </c>
    </row>
    <row r="102" spans="2:12" x14ac:dyDescent="0.2">
      <c r="B102" s="17" t="s">
        <v>204</v>
      </c>
      <c r="C102" s="30">
        <f>'Balance sheet'!B45/'Balance sheet'!B$31</f>
        <v>3.1473838597448664E-2</v>
      </c>
      <c r="D102" s="30">
        <f>'Balance sheet'!C45/'Balance sheet'!C$31</f>
        <v>3.4128241096882214E-2</v>
      </c>
      <c r="E102" s="30">
        <f>'Balance sheet'!D45/'Balance sheet'!D$31</f>
        <v>3.064612241423342E-2</v>
      </c>
      <c r="F102" s="30">
        <f>'Balance sheet'!E45/'Balance sheet'!E$31</f>
        <v>2.9883131905388695E-2</v>
      </c>
      <c r="G102" s="30">
        <f>'Balance sheet'!F45/'Balance sheet'!F$31</f>
        <v>2.7921641095468509E-2</v>
      </c>
      <c r="H102" s="30">
        <f>'Balance sheet'!G45/'Balance sheet'!G$31</f>
        <v>2.530439525057988E-2</v>
      </c>
      <c r="I102" s="30">
        <f>'Balance sheet'!H45/'Balance sheet'!H$31</f>
        <v>2.4094222643953042E-2</v>
      </c>
      <c r="J102" s="30">
        <f>'Balance sheet'!I45/'Balance sheet'!I$31</f>
        <v>2.7098279558488193E-2</v>
      </c>
      <c r="K102" s="30">
        <f>'Balance sheet'!J45/'Balance sheet'!J$31</f>
        <v>2.7498565736425579E-2</v>
      </c>
      <c r="L102" s="30">
        <f>'Balance sheet'!K45/'Balance sheet'!K$31</f>
        <v>2.6123927832002364E-2</v>
      </c>
    </row>
    <row r="103" spans="2:12" x14ac:dyDescent="0.2">
      <c r="B103" s="18" t="s">
        <v>39</v>
      </c>
      <c r="C103" s="30" t="s">
        <v>58</v>
      </c>
      <c r="D103" s="30" t="s">
        <v>58</v>
      </c>
      <c r="E103" s="30" t="s">
        <v>58</v>
      </c>
      <c r="F103" s="30" t="s">
        <v>58</v>
      </c>
      <c r="G103" s="30" t="s">
        <v>58</v>
      </c>
      <c r="H103" s="30">
        <f>'Balance sheet'!G46/'Balance sheet'!G$31</f>
        <v>2.5488379427940626E-2</v>
      </c>
      <c r="I103" s="30">
        <f>'Balance sheet'!H46/'Balance sheet'!H$31</f>
        <v>1.7439139327182617E-2</v>
      </c>
      <c r="J103" s="30">
        <f>'Balance sheet'!I46/'Balance sheet'!I$31</f>
        <v>1.8651373853228386E-2</v>
      </c>
      <c r="K103" s="30">
        <f>'Balance sheet'!J46/'Balance sheet'!J$31</f>
        <v>1.7211162893047163E-2</v>
      </c>
      <c r="L103" s="30">
        <f>'Balance sheet'!K46/'Balance sheet'!K$31</f>
        <v>1.8988464951197871E-2</v>
      </c>
    </row>
    <row r="104" spans="2:12" x14ac:dyDescent="0.2">
      <c r="B104" s="17" t="s">
        <v>210</v>
      </c>
      <c r="C104" s="30">
        <f>'Balance sheet'!B47/'Balance sheet'!B$31</f>
        <v>7.4467903676922034E-2</v>
      </c>
      <c r="D104" s="30">
        <f>'Balance sheet'!C47/'Balance sheet'!C$31</f>
        <v>7.3297434273044026E-2</v>
      </c>
      <c r="E104" s="30">
        <f>'Balance sheet'!D47/'Balance sheet'!D$31</f>
        <v>6.3658806503788204E-2</v>
      </c>
      <c r="F104" s="30">
        <f>'Balance sheet'!E47/'Balance sheet'!E$31</f>
        <v>7.9494236368712862E-2</v>
      </c>
      <c r="G104" s="30">
        <f>'Balance sheet'!F47/'Balance sheet'!F$31</f>
        <v>9.8661868521085092E-2</v>
      </c>
      <c r="H104" s="30">
        <f>'Balance sheet'!G47/'Balance sheet'!G$31</f>
        <v>9.5448362869364659E-2</v>
      </c>
      <c r="I104" s="30">
        <f>'Balance sheet'!H47/'Balance sheet'!H$31</f>
        <v>9.0914336639503504E-2</v>
      </c>
      <c r="J104" s="30">
        <f>'Balance sheet'!I47/'Balance sheet'!I$31</f>
        <v>0.10602192407633275</v>
      </c>
      <c r="K104" s="30">
        <f>'Balance sheet'!J47/'Balance sheet'!J$31</f>
        <v>9.621747365277461E-2</v>
      </c>
      <c r="L104" s="30">
        <f>'Balance sheet'!K47/'Balance sheet'!K$31</f>
        <v>8.4849157054126004E-2</v>
      </c>
    </row>
    <row r="105" spans="2:12" x14ac:dyDescent="0.2">
      <c r="B105" s="17" t="s">
        <v>46</v>
      </c>
      <c r="C105" s="30" t="s">
        <v>58</v>
      </c>
      <c r="D105" s="30" t="s">
        <v>58</v>
      </c>
      <c r="E105" s="30" t="s">
        <v>58</v>
      </c>
      <c r="F105" s="30" t="s">
        <v>58</v>
      </c>
      <c r="G105" s="30" t="s">
        <v>58</v>
      </c>
      <c r="H105" s="30" t="s">
        <v>58</v>
      </c>
      <c r="I105" s="30">
        <f>'Balance sheet'!H48/'Balance sheet'!H$31</f>
        <v>2.1266773951567921E-2</v>
      </c>
      <c r="J105" s="30" t="s">
        <v>58</v>
      </c>
      <c r="K105" s="30" t="s">
        <v>58</v>
      </c>
      <c r="L105" s="30" t="s">
        <v>58</v>
      </c>
    </row>
    <row r="106" spans="2:12" x14ac:dyDescent="0.2">
      <c r="B106" s="26" t="s">
        <v>65</v>
      </c>
      <c r="C106" s="205">
        <f>'Balance sheet'!B49/'Balance sheet'!B$31</f>
        <v>0.5600313800395661</v>
      </c>
      <c r="D106" s="205">
        <f>'Balance sheet'!C49/'Balance sheet'!C$31</f>
        <v>0.55931942621838093</v>
      </c>
      <c r="E106" s="205">
        <f>'Balance sheet'!D49/'Balance sheet'!D$31</f>
        <v>0.53463011832808371</v>
      </c>
      <c r="F106" s="205">
        <f>'Balance sheet'!E49/'Balance sheet'!E$31</f>
        <v>0.56055203222847116</v>
      </c>
      <c r="G106" s="205">
        <f>'Balance sheet'!F49/'Balance sheet'!F$31</f>
        <v>0.55296196334930015</v>
      </c>
      <c r="H106" s="205">
        <f>'Balance sheet'!G49/'Balance sheet'!G$31</f>
        <v>0.61437573511535148</v>
      </c>
      <c r="I106" s="205">
        <f>'Balance sheet'!H49/'Balance sheet'!H$31</f>
        <v>0.61149829134903289</v>
      </c>
      <c r="J106" s="205">
        <f>'Balance sheet'!I49/'Balance sheet'!I$31</f>
        <v>0.60140453481413014</v>
      </c>
      <c r="K106" s="205">
        <f>'Balance sheet'!J49/'Balance sheet'!J$31</f>
        <v>0.57934031734555147</v>
      </c>
      <c r="L106" s="205">
        <f>'Balance sheet'!K49/'Balance sheet'!K$31</f>
        <v>0.58048654244306419</v>
      </c>
    </row>
    <row r="107" spans="2:12" x14ac:dyDescent="0.2">
      <c r="B107" s="26" t="s">
        <v>211</v>
      </c>
      <c r="C107" s="205">
        <f>'Balance sheet'!B50/'Balance sheet'!B$31</f>
        <v>0.89754587625349613</v>
      </c>
      <c r="D107" s="205">
        <f>'Balance sheet'!C50/'Balance sheet'!C$31</f>
        <v>0.86946920675143669</v>
      </c>
      <c r="E107" s="205">
        <f>'Balance sheet'!D50/'Balance sheet'!D$31</f>
        <v>0.84343236571039415</v>
      </c>
      <c r="F107" s="205">
        <f>'Balance sheet'!E50/'Balance sheet'!E$31</f>
        <v>0.85860954888117746</v>
      </c>
      <c r="G107" s="205">
        <f>'Balance sheet'!F50/'Balance sheet'!F$31</f>
        <v>0.86279086731344368</v>
      </c>
      <c r="H107" s="205">
        <f>'Balance sheet'!G50/'Balance sheet'!G$31</f>
        <v>0.86211042993159737</v>
      </c>
      <c r="I107" s="205">
        <f>'Balance sheet'!H50/'Balance sheet'!H$31</f>
        <v>0.86711632290618124</v>
      </c>
      <c r="J107" s="205">
        <f>'Balance sheet'!I50/'Balance sheet'!I$31</f>
        <v>0.85609199930303559</v>
      </c>
      <c r="K107" s="205">
        <f>'Balance sheet'!J50/'Balance sheet'!J$31</f>
        <v>0.82693743467224134</v>
      </c>
      <c r="L107" s="205">
        <f>'Balance sheet'!K50/'Balance sheet'!K$31</f>
        <v>0.8327861579414374</v>
      </c>
    </row>
    <row r="108" spans="2:12" x14ac:dyDescent="0.2">
      <c r="B108" s="17" t="s">
        <v>212</v>
      </c>
      <c r="C108" s="30"/>
      <c r="D108" s="30"/>
      <c r="E108" s="30"/>
      <c r="F108" s="30"/>
      <c r="G108" s="30"/>
      <c r="H108" s="30"/>
      <c r="I108" s="30"/>
      <c r="J108" s="30"/>
      <c r="K108" s="30"/>
      <c r="L108" s="30"/>
    </row>
    <row r="109" spans="2:12" x14ac:dyDescent="0.2">
      <c r="B109" s="17" t="s">
        <v>213</v>
      </c>
      <c r="C109" s="30"/>
      <c r="D109" s="30"/>
      <c r="E109" s="30"/>
      <c r="F109" s="30"/>
      <c r="G109" s="30"/>
      <c r="H109" s="30"/>
      <c r="I109" s="30"/>
      <c r="J109" s="30"/>
      <c r="K109" s="30"/>
      <c r="L109" s="30"/>
    </row>
    <row r="110" spans="2:12" x14ac:dyDescent="0.2">
      <c r="B110" s="17" t="s">
        <v>214</v>
      </c>
      <c r="C110" s="30"/>
      <c r="D110" s="30"/>
      <c r="E110" s="30"/>
      <c r="F110" s="30"/>
      <c r="G110" s="30"/>
      <c r="H110" s="30"/>
      <c r="I110" s="30"/>
      <c r="J110" s="30"/>
      <c r="K110" s="30"/>
      <c r="L110" s="30"/>
    </row>
    <row r="111" spans="2:12" ht="30" x14ac:dyDescent="0.2">
      <c r="B111" s="164" t="s">
        <v>55</v>
      </c>
      <c r="C111" s="30">
        <f>'Balance sheet'!B54/'Balance sheet'!B$31</f>
        <v>0.44909270755167474</v>
      </c>
      <c r="D111" s="30">
        <f>'Balance sheet'!C54/'Balance sheet'!C$31</f>
        <v>0.48203086112493776</v>
      </c>
      <c r="E111" s="30">
        <f>'Balance sheet'!D54/'Balance sheet'!D$31</f>
        <v>0.45913850344768875</v>
      </c>
      <c r="F111" s="30">
        <f>'Balance sheet'!E54/'Balance sheet'!E$31</f>
        <v>0.43529177136931113</v>
      </c>
      <c r="G111" s="30">
        <f>'Balance sheet'!F54/'Balance sheet'!F$31</f>
        <v>0.4469975117724771</v>
      </c>
      <c r="H111" s="30">
        <f>'Balance sheet'!G54/'Balance sheet'!G$31</f>
        <v>0.36727841405639117</v>
      </c>
      <c r="I111" s="30">
        <f>'Balance sheet'!H54/'Balance sheet'!H$31</f>
        <v>0.36260586903975739</v>
      </c>
      <c r="J111" s="30">
        <f>'Balance sheet'!I54/'Balance sheet'!I$31</f>
        <v>0.4342315588518269</v>
      </c>
      <c r="K111" s="30">
        <f>'Balance sheet'!J54/'Balance sheet'!J$31</f>
        <v>0.45851638204066236</v>
      </c>
      <c r="L111" s="30">
        <f>'Balance sheet'!K54/'Balance sheet'!K$31</f>
        <v>0.44101597160603373</v>
      </c>
    </row>
    <row r="112" spans="2:12" x14ac:dyDescent="0.2">
      <c r="B112" s="163" t="s">
        <v>215</v>
      </c>
      <c r="C112" s="30">
        <f>'Balance sheet'!B55/'Balance sheet'!B$31</f>
        <v>1.1749863565045364</v>
      </c>
      <c r="D112" s="30">
        <f>'Balance sheet'!C55/'Balance sheet'!C$31</f>
        <v>1.3224489795918368</v>
      </c>
      <c r="E112" s="30">
        <f>'Balance sheet'!D55/'Balance sheet'!D$31</f>
        <v>1.3004086149655232</v>
      </c>
      <c r="F112" s="30">
        <f>'Balance sheet'!E55/'Balance sheet'!E$31</f>
        <v>1.221538829723585</v>
      </c>
      <c r="G112" s="30">
        <f>'Balance sheet'!F55/'Balance sheet'!F$31</f>
        <v>1.2903526474902942</v>
      </c>
      <c r="H112" s="30">
        <f>'Balance sheet'!G55/'Balance sheet'!G$31</f>
        <v>1.0707616287856387</v>
      </c>
      <c r="I112" s="30">
        <f>'Balance sheet'!H55/'Balance sheet'!H$31</f>
        <v>1.0432516301107257</v>
      </c>
      <c r="J112" s="30">
        <f>'Balance sheet'!I55/'Balance sheet'!I$31</f>
        <v>1.1682335739880758</v>
      </c>
      <c r="K112" s="30">
        <f>'Balance sheet'!J55/'Balance sheet'!J$31</f>
        <v>1.1774714522606351</v>
      </c>
      <c r="L112" s="30">
        <f>'Balance sheet'!K55/'Balance sheet'!K$31</f>
        <v>1.1185743862762496</v>
      </c>
    </row>
    <row r="113" spans="1:12" x14ac:dyDescent="0.2">
      <c r="B113" s="164" t="s">
        <v>57</v>
      </c>
      <c r="C113" s="30">
        <f>'Balance sheet'!B56/'Balance sheet'!B$31</f>
        <v>-1.2851746367419332</v>
      </c>
      <c r="D113" s="30">
        <f>'Balance sheet'!C56/'Balance sheet'!C$31</f>
        <v>-1.4074664011946243</v>
      </c>
      <c r="E113" s="30">
        <f>'Balance sheet'!D56/'Balance sheet'!D$31</f>
        <v>-1.3539627138843959</v>
      </c>
      <c r="F113" s="30">
        <f>'Balance sheet'!E56/'Balance sheet'!E$31</f>
        <v>-1.3043516413385985</v>
      </c>
      <c r="G113" s="30">
        <f>'Balance sheet'!F56/'Balance sheet'!F$31</f>
        <v>-1.3622113615548586</v>
      </c>
      <c r="H113" s="30">
        <f>'Balance sheet'!G56/'Balance sheet'!G$31</f>
        <v>-1.1131896942577224</v>
      </c>
      <c r="I113" s="30">
        <f>'Balance sheet'!H56/'Balance sheet'!H$31</f>
        <v>-1.0857082406344769</v>
      </c>
      <c r="J113" s="30">
        <f>'Balance sheet'!I56/'Balance sheet'!I$31</f>
        <v>-1.283263005583291</v>
      </c>
      <c r="K113" s="30">
        <f>'Balance sheet'!J56/'Balance sheet'!J$31</f>
        <v>-1.3319711103950709</v>
      </c>
      <c r="L113" s="30">
        <f>'Balance sheet'!K56/'Balance sheet'!K$31</f>
        <v>-1.2542443064182194</v>
      </c>
    </row>
    <row r="114" spans="1:12" x14ac:dyDescent="0.2">
      <c r="B114" s="163" t="s">
        <v>216</v>
      </c>
      <c r="C114" s="30">
        <f>'Balance sheet'!B57/'Balance sheet'!B$31</f>
        <v>-0.23769527252882189</v>
      </c>
      <c r="D114" s="30">
        <f>'Balance sheet'!C57/'Balance sheet'!C$31</f>
        <v>-0.26794877596271327</v>
      </c>
      <c r="E114" s="30">
        <f>'Balance sheet'!D57/'Balance sheet'!D$31</f>
        <v>-0.25025964075934282</v>
      </c>
      <c r="F114" s="30">
        <f>'Balance sheet'!E57/'Balance sheet'!E$31</f>
        <v>-0.21213354074428623</v>
      </c>
      <c r="G114" s="30">
        <f>'Balance sheet'!F57/'Balance sheet'!F$31</f>
        <v>-0.23901573175772606</v>
      </c>
      <c r="H114" s="30">
        <f>'Balance sheet'!G57/'Balance sheet'!G$31</f>
        <v>-0.18790698285661719</v>
      </c>
      <c r="I114" s="30">
        <f>'Balance sheet'!H57/'Balance sheet'!H$31</f>
        <v>-0.18809265825057223</v>
      </c>
      <c r="J114" s="30">
        <f>'Balance sheet'!I57/'Balance sheet'!I$31</f>
        <v>-0.17601381807713579</v>
      </c>
      <c r="K114" s="30">
        <f>'Balance sheet'!J57/'Balance sheet'!J$31</f>
        <v>-0.13155929992219612</v>
      </c>
      <c r="L114" s="30">
        <f>'Balance sheet'!K57/'Balance sheet'!K$31</f>
        <v>-0.1387237503697131</v>
      </c>
    </row>
    <row r="115" spans="1:12" x14ac:dyDescent="0.2">
      <c r="B115" s="163" t="s">
        <v>217</v>
      </c>
      <c r="C115" s="30">
        <f>'Balance sheet'!B58/'Balance sheet'!B$31</f>
        <v>0.10120915478545603</v>
      </c>
      <c r="D115" s="30">
        <f>'Balance sheet'!C58/'Balance sheet'!C$31</f>
        <v>0.12906466355943708</v>
      </c>
      <c r="E115" s="30">
        <f>'Balance sheet'!D58/'Balance sheet'!D$31</f>
        <v>0.15532476376947305</v>
      </c>
      <c r="F115" s="30">
        <f>'Balance sheet'!E58/'Balance sheet'!E$31</f>
        <v>0.14034541901001157</v>
      </c>
      <c r="G115" s="30">
        <f>'Balance sheet'!F58/'Balance sheet'!F$31</f>
        <v>0.13612306595018683</v>
      </c>
      <c r="H115" s="30">
        <f>'Balance sheet'!G58/'Balance sheet'!G$31</f>
        <v>0.13694336572769028</v>
      </c>
      <c r="I115" s="30">
        <f>'Balance sheet'!H58/'Balance sheet'!H$31</f>
        <v>0.13205660026543395</v>
      </c>
      <c r="J115" s="30">
        <f>'Balance sheet'!I58/'Balance sheet'!I$31</f>
        <v>0.14318830917947592</v>
      </c>
      <c r="K115" s="30">
        <f>'Balance sheet'!J58/'Balance sheet'!J$31</f>
        <v>0.17245742398403055</v>
      </c>
      <c r="L115" s="30">
        <f>'Balance sheet'!K58/'Balance sheet'!K$31</f>
        <v>0.16662230109435078</v>
      </c>
    </row>
    <row r="116" spans="1:12" x14ac:dyDescent="0.2">
      <c r="B116" s="17" t="s">
        <v>218</v>
      </c>
      <c r="C116" s="30">
        <f>'Balance sheet'!B59/'Balance sheet'!B$31</f>
        <v>1.2449689610478205E-3</v>
      </c>
      <c r="D116" s="30">
        <f>'Balance sheet'!C59/'Balance sheet'!C$31</f>
        <v>1.4661296891262047E-3</v>
      </c>
      <c r="E116" s="30">
        <f>'Balance sheet'!D59/'Balance sheet'!D$31</f>
        <v>1.2428705201327998E-3</v>
      </c>
      <c r="F116" s="30">
        <f>'Balance sheet'!E59/'Balance sheet'!E$31</f>
        <v>1.0450321088109769E-3</v>
      </c>
      <c r="G116" s="30">
        <f>'Balance sheet'!F59/'Balance sheet'!F$31</f>
        <v>1.0860667363694573E-3</v>
      </c>
      <c r="H116" s="30">
        <f>'Balance sheet'!G59/'Balance sheet'!G$31</f>
        <v>9.46204340712413E-4</v>
      </c>
      <c r="I116" s="30">
        <f>'Balance sheet'!H59/'Balance sheet'!H$31</f>
        <v>8.2707682838476383E-4</v>
      </c>
      <c r="J116" s="30">
        <f>'Balance sheet'!I59/'Balance sheet'!I$31</f>
        <v>7.1969151748850382E-4</v>
      </c>
      <c r="K116" s="30">
        <f>'Balance sheet'!J59/'Balance sheet'!J$31</f>
        <v>6.0514134372814221E-4</v>
      </c>
      <c r="L116" s="30">
        <f>'Balance sheet'!K59/'Balance sheet'!K$31</f>
        <v>5.9154096421177161E-4</v>
      </c>
    </row>
    <row r="117" spans="1:12" x14ac:dyDescent="0.2">
      <c r="B117" s="26" t="s">
        <v>219</v>
      </c>
      <c r="C117" s="205">
        <f>'Balance sheet'!B60/'Balance sheet'!B$31</f>
        <v>0.10245412374650385</v>
      </c>
      <c r="D117" s="205">
        <f>'Balance sheet'!C60/'Balance sheet'!C$31</f>
        <v>0.13053079324856329</v>
      </c>
      <c r="E117" s="205">
        <f>'Balance sheet'!D60/'Balance sheet'!D$31</f>
        <v>0.15656763428960585</v>
      </c>
      <c r="F117" s="205">
        <f>'Balance sheet'!E60/'Balance sheet'!E$31</f>
        <v>0.14139045111882254</v>
      </c>
      <c r="G117" s="205">
        <f>'Balance sheet'!F60/'Balance sheet'!F$31</f>
        <v>0.13720913268655627</v>
      </c>
      <c r="H117" s="205">
        <f>'Balance sheet'!G60/'Balance sheet'!G$31</f>
        <v>0.13788957006840269</v>
      </c>
      <c r="I117" s="205">
        <f>'Balance sheet'!H60/'Balance sheet'!H$31</f>
        <v>0.13288367709381874</v>
      </c>
      <c r="J117" s="205">
        <f>'Balance sheet'!I60/'Balance sheet'!I$31</f>
        <v>0.14390800069696441</v>
      </c>
      <c r="K117" s="205">
        <f>'Balance sheet'!J60/'Balance sheet'!J$31</f>
        <v>0.17306256532775871</v>
      </c>
      <c r="L117" s="205">
        <f>'Balance sheet'!K60/'Balance sheet'!K$31</f>
        <v>0.16721384205856255</v>
      </c>
    </row>
    <row r="118" spans="1:12" ht="15.75" thickBot="1" x14ac:dyDescent="0.25">
      <c r="B118" s="206" t="s">
        <v>220</v>
      </c>
      <c r="C118" s="207">
        <f>'Balance sheet'!B61/'Balance sheet'!B$31</f>
        <v>1</v>
      </c>
      <c r="D118" s="207">
        <f>'Balance sheet'!C61/'Balance sheet'!C$31</f>
        <v>1</v>
      </c>
      <c r="E118" s="207">
        <f>'Balance sheet'!D61/'Balance sheet'!D$31</f>
        <v>1</v>
      </c>
      <c r="F118" s="207">
        <f>'Balance sheet'!E61/'Balance sheet'!E$31</f>
        <v>1</v>
      </c>
      <c r="G118" s="207">
        <f>'Balance sheet'!F61/'Balance sheet'!F$31</f>
        <v>1</v>
      </c>
      <c r="H118" s="207">
        <f>'Balance sheet'!G61/'Balance sheet'!G$31</f>
        <v>1</v>
      </c>
      <c r="I118" s="207">
        <f>'Balance sheet'!H61/'Balance sheet'!H$31</f>
        <v>1</v>
      </c>
      <c r="J118" s="207">
        <f>'Balance sheet'!I61/'Balance sheet'!I$31</f>
        <v>1</v>
      </c>
      <c r="K118" s="207">
        <f>'Balance sheet'!J61/'Balance sheet'!J$31</f>
        <v>1</v>
      </c>
      <c r="L118" s="207">
        <f>'Balance sheet'!K61/'Balance sheet'!K$31</f>
        <v>1</v>
      </c>
    </row>
    <row r="119" spans="1:12" ht="15.75" thickTop="1" x14ac:dyDescent="0.2">
      <c r="B119" s="15"/>
      <c r="C119" s="130"/>
      <c r="D119" s="130"/>
      <c r="E119" s="130"/>
      <c r="F119" s="130"/>
      <c r="G119" s="130"/>
      <c r="H119" s="130"/>
      <c r="I119" s="130"/>
      <c r="J119" s="130"/>
      <c r="K119" s="130"/>
      <c r="L119" s="130"/>
    </row>
    <row r="120" spans="1:12" x14ac:dyDescent="0.2">
      <c r="B120" s="15"/>
      <c r="C120" s="130"/>
      <c r="D120" s="130"/>
      <c r="E120" s="130"/>
      <c r="F120" s="130"/>
      <c r="G120" s="130"/>
      <c r="H120" s="130"/>
      <c r="I120" s="130"/>
      <c r="J120" s="130"/>
      <c r="K120" s="130"/>
      <c r="L120" s="130"/>
    </row>
    <row r="121" spans="1:12" ht="15.75" x14ac:dyDescent="0.2">
      <c r="A121" s="3" t="s">
        <v>182</v>
      </c>
      <c r="B121" s="155" t="s">
        <v>135</v>
      </c>
      <c r="C121" s="194"/>
      <c r="D121" s="194"/>
      <c r="E121" s="194"/>
      <c r="F121" s="194"/>
      <c r="G121" s="194"/>
      <c r="H121" s="194"/>
      <c r="I121" s="194"/>
      <c r="J121" s="194"/>
      <c r="K121" s="194"/>
      <c r="L121" s="194"/>
    </row>
    <row r="122" spans="1:12" x14ac:dyDescent="0.2">
      <c r="B122" s="21" t="s">
        <v>33</v>
      </c>
      <c r="C122" s="30"/>
      <c r="D122" s="30"/>
      <c r="E122" s="30"/>
      <c r="F122" s="30"/>
      <c r="G122" s="30"/>
      <c r="H122" s="30"/>
      <c r="I122" s="30"/>
      <c r="J122" s="30"/>
      <c r="K122" s="30"/>
      <c r="L122" s="30"/>
    </row>
    <row r="123" spans="1:12" x14ac:dyDescent="0.2">
      <c r="B123" s="21" t="s">
        <v>1</v>
      </c>
      <c r="C123" s="129">
        <f>'Cash flow statement'!B4/'Cash flow statement'!B$19</f>
        <v>0.71268524007113221</v>
      </c>
      <c r="D123" s="129">
        <f>'Cash flow statement'!C4/'Cash flow statement'!C$19</f>
        <v>0.76438546676710895</v>
      </c>
      <c r="E123" s="129">
        <f>'Cash flow statement'!D4/'Cash flow statement'!D$19</f>
        <v>0.69493707930933568</v>
      </c>
      <c r="F123" s="129">
        <f>'Cash flow statement'!E4/'Cash flow statement'!E$19</f>
        <v>0.34395742390719369</v>
      </c>
      <c r="G123" s="129">
        <f>'Cash flow statement'!F4/'Cash flow statement'!F$19</f>
        <v>0.57243097908059548</v>
      </c>
      <c r="H123" s="129">
        <f>'Cash flow statement'!G4/'Cash flow statement'!G$19</f>
        <v>0.63850528025995124</v>
      </c>
      <c r="I123" s="129">
        <f>'Cash flow statement'!H4/'Cash flow statement'!H$19</f>
        <v>0.30717661281459502</v>
      </c>
      <c r="J123" s="129">
        <f>'Cash flow statement'!I4/'Cash flow statement'!I$19</f>
        <v>0.44881212879024696</v>
      </c>
      <c r="K123" s="129">
        <f>'Cash flow statement'!J4/'Cash flow statement'!J$19</f>
        <v>0.15706756109247724</v>
      </c>
      <c r="L123" s="129">
        <f>'Cash flow statement'!K4/'Cash flow statement'!K$19</f>
        <v>0.5384781048097631</v>
      </c>
    </row>
    <row r="124" spans="1:12" ht="30" x14ac:dyDescent="0.2">
      <c r="B124" s="14" t="s">
        <v>48</v>
      </c>
      <c r="C124" s="30"/>
      <c r="D124" s="30"/>
      <c r="E124" s="30"/>
      <c r="F124" s="30"/>
      <c r="G124" s="30"/>
      <c r="H124" s="30"/>
      <c r="I124" s="30"/>
      <c r="J124" s="30"/>
      <c r="K124" s="30"/>
      <c r="L124" s="30"/>
    </row>
    <row r="125" spans="1:12" x14ac:dyDescent="0.2">
      <c r="B125" s="167" t="s">
        <v>221</v>
      </c>
      <c r="C125" s="30" t="s">
        <v>58</v>
      </c>
      <c r="D125" s="30" t="s">
        <v>58</v>
      </c>
      <c r="E125" s="30" t="s">
        <v>58</v>
      </c>
      <c r="F125" s="30" t="s">
        <v>58</v>
      </c>
      <c r="G125" s="30" t="s">
        <v>58</v>
      </c>
      <c r="H125" s="30" t="s">
        <v>58</v>
      </c>
      <c r="I125" s="30" t="s">
        <v>58</v>
      </c>
      <c r="J125" s="30" t="s">
        <v>58</v>
      </c>
      <c r="K125" s="30">
        <f>'Cash flow statement'!J6/'Cash flow statement'!J$19</f>
        <v>0.56482989937709627</v>
      </c>
      <c r="L125" s="30" t="s">
        <v>58</v>
      </c>
    </row>
    <row r="126" spans="1:12" x14ac:dyDescent="0.2">
      <c r="B126" s="167" t="s">
        <v>2</v>
      </c>
      <c r="C126" s="30">
        <f>'Cash flow statement'!B7/'Cash flow statement'!B$19</f>
        <v>0.18642560758743332</v>
      </c>
      <c r="D126" s="30">
        <f>'Cash flow statement'!C7/'Cash flow statement'!C$19</f>
        <v>0.15425624384307818</v>
      </c>
      <c r="E126" s="30">
        <f>'Cash flow statement'!D7/'Cash flow statement'!D$19</f>
        <v>0.16605209247878255</v>
      </c>
      <c r="F126" s="30">
        <f>'Cash flow statement'!E7/'Cash flow statement'!E$19</f>
        <v>0.18064940501106261</v>
      </c>
      <c r="G126" s="30">
        <f>'Cash flow statement'!F7/'Cash flow statement'!F$19</f>
        <v>0.20506262705751196</v>
      </c>
      <c r="H126" s="30">
        <f>'Cash flow statement'!G7/'Cash flow statement'!G$19</f>
        <v>0.28493095044679123</v>
      </c>
      <c r="I126" s="30">
        <f>'Cash flow statement'!H7/'Cash flow statement'!H$19</f>
        <v>0.23227827233761952</v>
      </c>
      <c r="J126" s="30">
        <f>'Cash flow statement'!I7/'Cash flow statement'!I$19</f>
        <v>0.30384495154735858</v>
      </c>
      <c r="K126" s="30">
        <f>'Cash flow statement'!J7/'Cash flow statement'!J$19</f>
        <v>0.23066602779108769</v>
      </c>
      <c r="L126" s="30">
        <f>'Cash flow statement'!K7/'Cash flow statement'!K$19</f>
        <v>0.15139985642498205</v>
      </c>
    </row>
    <row r="127" spans="1:12" x14ac:dyDescent="0.2">
      <c r="B127" s="167" t="s">
        <v>3</v>
      </c>
      <c r="C127" s="30">
        <f>'Cash flow statement'!B8/'Cash flow statement'!B$19</f>
        <v>7.9845880260818014E-2</v>
      </c>
      <c r="D127" s="30">
        <f>'Cash flow statement'!C8/'Cash flow statement'!C$19</f>
        <v>6.9131366981514744E-2</v>
      </c>
      <c r="E127" s="30">
        <f>'Cash flow statement'!D8/'Cash flow statement'!D$19</f>
        <v>9.0371671056482292E-2</v>
      </c>
      <c r="F127" s="30">
        <f>'Cash flow statement'!E8/'Cash flow statement'!E$19</f>
        <v>9.0892782395503205E-2</v>
      </c>
      <c r="G127" s="30">
        <f>'Cash flow statement'!F8/'Cash flow statement'!F$19</f>
        <v>8.8727129647845765E-2</v>
      </c>
      <c r="H127" s="30">
        <f>'Cash flow statement'!G8/'Cash flow statement'!G$19</f>
        <v>0.12523693474140266</v>
      </c>
      <c r="I127" s="30">
        <f>'Cash flow statement'!H8/'Cash flow statement'!H$19</f>
        <v>0.13561929882404661</v>
      </c>
      <c r="J127" s="30">
        <f>'Cash flow statement'!I8/'Cash flow statement'!I$19</f>
        <v>0.19763988746483277</v>
      </c>
      <c r="K127" s="30">
        <f>'Cash flow statement'!J8/'Cash flow statement'!J$19</f>
        <v>0.2295160517489219</v>
      </c>
      <c r="L127" s="30">
        <f>'Cash flow statement'!K8/'Cash flow statement'!K$19</f>
        <v>0.16417803302225412</v>
      </c>
    </row>
    <row r="128" spans="1:12" x14ac:dyDescent="0.2">
      <c r="B128" s="167" t="s">
        <v>4</v>
      </c>
      <c r="C128" s="30">
        <f>'Cash flow statement'!B9/'Cash flow statement'!B$19</f>
        <v>3.0349733254297569E-2</v>
      </c>
      <c r="D128" s="30">
        <f>'Cash flow statement'!C9/'Cash flow statement'!C$19</f>
        <v>2.7119429796604276E-2</v>
      </c>
      <c r="E128" s="30">
        <f>'Cash flow statement'!D9/'Cash flow statement'!D$19</f>
        <v>3.1840796019900496E-2</v>
      </c>
      <c r="F128" s="30">
        <f>'Cash flow statement'!E9/'Cash flow statement'!E$19</f>
        <v>3.1932069604735991E-2</v>
      </c>
      <c r="G128" s="30">
        <f>'Cash flow statement'!F9/'Cash flow statement'!F$19</f>
        <v>3.3444816053511704E-2</v>
      </c>
      <c r="H128" s="30">
        <f>'Cash flow statement'!G9/'Cash flow statement'!G$19</f>
        <v>4.5965339832114809E-2</v>
      </c>
      <c r="I128" s="30">
        <f>'Cash flow statement'!H9/'Cash flow statement'!H$19</f>
        <v>5.1489174634575231E-2</v>
      </c>
      <c r="J128" s="30">
        <f>'Cash flow statement'!I9/'Cash flow statement'!I$19</f>
        <v>7.6742732103782435E-2</v>
      </c>
      <c r="K128" s="30">
        <f>'Cash flow statement'!J9/'Cash flow statement'!J$19</f>
        <v>9.4585529468136087E-2</v>
      </c>
      <c r="L128" s="30">
        <f>'Cash flow statement'!K9/'Cash flow statement'!K$19</f>
        <v>8.133524766690596E-2</v>
      </c>
    </row>
    <row r="129" spans="2:12" x14ac:dyDescent="0.2">
      <c r="B129" s="167" t="s">
        <v>5</v>
      </c>
      <c r="C129" s="30">
        <f>'Cash flow statement'!B10/'Cash flow statement'!B$19</f>
        <v>-1.4048606994665086E-2</v>
      </c>
      <c r="D129" s="30">
        <f>'Cash flow statement'!C10/'Cash flow statement'!C$19</f>
        <v>8.0373181897201135E-2</v>
      </c>
      <c r="E129" s="30">
        <f>'Cash flow statement'!D10/'Cash flow statement'!D$19</f>
        <v>-6.6256950541410592E-2</v>
      </c>
      <c r="F129" s="30">
        <f>'Cash flow statement'!E10/'Cash flow statement'!E$19</f>
        <v>-5.5671829217245707E-2</v>
      </c>
      <c r="G129" s="30">
        <f>'Cash flow statement'!F10/'Cash flow statement'!F$19</f>
        <v>5.5938094301265659E-2</v>
      </c>
      <c r="H129" s="30">
        <f>'Cash flow statement'!G10/'Cash flow statement'!G$19</f>
        <v>-0.10337124289195776</v>
      </c>
      <c r="I129" s="30">
        <f>'Cash flow statement'!H10/'Cash flow statement'!H$19</f>
        <v>-0.17600835256621608</v>
      </c>
      <c r="J129" s="30">
        <f>'Cash flow statement'!I10/'Cash flow statement'!I$19</f>
        <v>-0.15637699281025319</v>
      </c>
      <c r="K129" s="30">
        <f>'Cash flow statement'!J10/'Cash flow statement'!J$19</f>
        <v>-0.26123622424532822</v>
      </c>
      <c r="L129" s="30">
        <f>'Cash flow statement'!K10/'Cash flow statement'!K$19</f>
        <v>-7.9971284996410624E-2</v>
      </c>
    </row>
    <row r="130" spans="2:12" x14ac:dyDescent="0.2">
      <c r="B130" s="167" t="s">
        <v>14</v>
      </c>
      <c r="C130" s="30">
        <f>'Cash flow statement'!B11/'Cash flow statement'!B$19</f>
        <v>-9.0989922940130405E-2</v>
      </c>
      <c r="D130" s="30">
        <f>'Cash flow statement'!C11/'Cash flow statement'!C$19</f>
        <v>2.7872747290954396E-2</v>
      </c>
      <c r="E130" s="30">
        <f>'Cash flow statement'!D11/'Cash flow statement'!D$19</f>
        <v>3.6289142522680715E-3</v>
      </c>
      <c r="F130" s="30">
        <f>'Cash flow statement'!E11/'Cash flow statement'!E$19</f>
        <v>8.3717036416910843E-4</v>
      </c>
      <c r="G130" s="30">
        <f>'Cash flow statement'!F11/'Cash flow statement'!F$19</f>
        <v>8.0661026952587051E-3</v>
      </c>
      <c r="H130" s="30">
        <f>'Cash flow statement'!G11/'Cash flow statement'!G$19</f>
        <v>-7.4194421879230976E-2</v>
      </c>
      <c r="I130" s="30">
        <f>'Cash flow statement'!H11/'Cash flow statement'!H$19</f>
        <v>-3.8465765468732828E-3</v>
      </c>
      <c r="J130" s="30">
        <f>'Cash flow statement'!I11/'Cash flow statement'!I$19</f>
        <v>-2.3991872460143795E-2</v>
      </c>
      <c r="K130" s="30">
        <f>'Cash flow statement'!J11/'Cash flow statement'!J$19</f>
        <v>-1.169142309535218E-2</v>
      </c>
      <c r="L130" s="30">
        <f>'Cash flow statement'!K11/'Cash flow statement'!K$19</f>
        <v>-1.2203876525484566E-2</v>
      </c>
    </row>
    <row r="131" spans="2:12" x14ac:dyDescent="0.2">
      <c r="B131" s="167" t="s">
        <v>222</v>
      </c>
      <c r="C131" s="30">
        <f>'Cash flow statement'!B12/'Cash flow statement'!B$19</f>
        <v>0.20041493775933611</v>
      </c>
      <c r="D131" s="30">
        <f>'Cash flow statement'!C12/'Cash flow statement'!C$19</f>
        <v>4.1142724691429567E-3</v>
      </c>
      <c r="E131" s="30" t="s">
        <v>58</v>
      </c>
      <c r="F131" s="30" t="s">
        <v>58</v>
      </c>
      <c r="G131" s="30" t="s">
        <v>58</v>
      </c>
      <c r="H131" s="30" t="s">
        <v>58</v>
      </c>
      <c r="I131" s="30" t="s">
        <v>58</v>
      </c>
      <c r="J131" s="30" t="s">
        <v>58</v>
      </c>
      <c r="K131" s="30" t="s">
        <v>58</v>
      </c>
      <c r="L131" s="30" t="s">
        <v>58</v>
      </c>
    </row>
    <row r="132" spans="2:12" ht="30" x14ac:dyDescent="0.2">
      <c r="B132" s="14" t="s">
        <v>6</v>
      </c>
      <c r="C132" s="30"/>
      <c r="D132" s="30"/>
      <c r="E132" s="30"/>
      <c r="F132" s="30"/>
      <c r="G132" s="30"/>
      <c r="H132" s="30"/>
      <c r="I132" s="30"/>
      <c r="J132" s="30"/>
      <c r="K132" s="30"/>
      <c r="L132" s="30"/>
    </row>
    <row r="133" spans="2:12" x14ac:dyDescent="0.2">
      <c r="B133" s="167" t="s">
        <v>34</v>
      </c>
      <c r="C133" s="30">
        <f>'Cash flow statement'!B14/'Cash flow statement'!B$19</f>
        <v>7.5281564908120921E-2</v>
      </c>
      <c r="D133" s="30">
        <f>'Cash flow statement'!C14/'Cash flow statement'!C$19</f>
        <v>4.7053369647099726E-2</v>
      </c>
      <c r="E133" s="30">
        <f>'Cash flow statement'!D14/'Cash flow statement'!D$19</f>
        <v>4.1673983026046239E-2</v>
      </c>
      <c r="F133" s="30">
        <f>'Cash flow statement'!E14/'Cash flow statement'!E$19</f>
        <v>7.7557854451952402E-2</v>
      </c>
      <c r="G133" s="30">
        <f>'Cash flow statement'!F14/'Cash flow statement'!F$19</f>
        <v>6.5971539117319164E-2</v>
      </c>
      <c r="H133" s="30">
        <f>'Cash flow statement'!G14/'Cash flow statement'!G$19</f>
        <v>3.3983211481180609E-2</v>
      </c>
      <c r="I133" s="30">
        <f>'Cash flow statement'!H14/'Cash flow statement'!H$19</f>
        <v>0.29107594241125401</v>
      </c>
      <c r="J133" s="30">
        <f>'Cash flow statement'!I14/'Cash flow statement'!I$19</f>
        <v>0.10722100656455143</v>
      </c>
      <c r="K133" s="30">
        <f>'Cash flow statement'!J14/'Cash flow statement'!J$19</f>
        <v>-5.1653090560613318E-2</v>
      </c>
      <c r="L133" s="30">
        <f>'Cash flow statement'!K14/'Cash flow statement'!K$19</f>
        <v>5.2045944005743E-2</v>
      </c>
    </row>
    <row r="134" spans="2:12" x14ac:dyDescent="0.2">
      <c r="B134" s="167" t="s">
        <v>7</v>
      </c>
      <c r="C134" s="30">
        <f>'Cash flow statement'!B15/'Cash flow statement'!B$19</f>
        <v>-3.8826318909306462E-2</v>
      </c>
      <c r="D134" s="30">
        <f>'Cash flow statement'!C15/'Cash flow statement'!C$19</f>
        <v>-1.2748449904386625E-3</v>
      </c>
      <c r="E134" s="30">
        <f>'Cash flow statement'!D15/'Cash flow statement'!D$19</f>
        <v>3.1606672519754169E-3</v>
      </c>
      <c r="F134" s="30">
        <f>'Cash flow statement'!E15/'Cash flow statement'!E$19</f>
        <v>6.0635053519105427E-2</v>
      </c>
      <c r="G134" s="30">
        <f>'Cash flow statement'!F15/'Cash flow statement'!F$19</f>
        <v>8.9710800708243166E-2</v>
      </c>
      <c r="H134" s="30">
        <f>'Cash flow statement'!G15/'Cash flow statement'!G$19</f>
        <v>2.0376387760628216E-2</v>
      </c>
      <c r="I134" s="30">
        <f>'Cash flow statement'!H15/'Cash flow statement'!H$19</f>
        <v>5.1434223541048464E-2</v>
      </c>
      <c r="J134" s="30">
        <f>'Cash flow statement'!I15/'Cash flow statement'!I$19</f>
        <v>8.1119099718662088E-2</v>
      </c>
      <c r="K134" s="30">
        <f>'Cash flow statement'!J15/'Cash flow statement'!J$19</f>
        <v>3.1720172496406324E-2</v>
      </c>
      <c r="L134" s="30">
        <f>'Cash flow statement'!K15/'Cash flow statement'!K$19</f>
        <v>-3.3165829145728645E-2</v>
      </c>
    </row>
    <row r="135" spans="2:12" x14ac:dyDescent="0.2">
      <c r="B135" s="167" t="s">
        <v>8</v>
      </c>
      <c r="C135" s="30">
        <f>'Cash flow statement'!B16/'Cash flow statement'!B$19</f>
        <v>-2.3117960877296977E-3</v>
      </c>
      <c r="D135" s="30">
        <f>'Cash flow statement'!C16/'Cash flow statement'!C$19</f>
        <v>7.707017442197369E-3</v>
      </c>
      <c r="E135" s="30">
        <f>'Cash flow statement'!D16/'Cash flow statement'!D$19</f>
        <v>-8.1943225051214514E-4</v>
      </c>
      <c r="F135" s="30">
        <f>'Cash flow statement'!E16/'Cash flow statement'!E$19</f>
        <v>1.0763618967888538E-3</v>
      </c>
      <c r="G135" s="30">
        <f>'Cash flow statement'!F16/'Cash flow statement'!F$19</f>
        <v>-8.3284149780313461E-3</v>
      </c>
      <c r="H135" s="30">
        <f>'Cash flow statement'!G16/'Cash flow statement'!G$19</f>
        <v>4.535607906850799E-3</v>
      </c>
      <c r="I135" s="30">
        <f>'Cash flow statement'!H16/'Cash flow statement'!H$19</f>
        <v>-1.1484778547093087E-2</v>
      </c>
      <c r="J135" s="30">
        <f>'Cash flow statement'!I16/'Cash flow statement'!I$19</f>
        <v>1.0784620193810567E-2</v>
      </c>
      <c r="K135" s="30">
        <f>'Cash flow statement'!J16/'Cash flow statement'!J$19</f>
        <v>6.8040249161475802E-3</v>
      </c>
      <c r="L135" s="30">
        <f>'Cash flow statement'!K16/'Cash flow statement'!K$19</f>
        <v>2.7997128499641061E-2</v>
      </c>
    </row>
    <row r="136" spans="2:12" x14ac:dyDescent="0.2">
      <c r="B136" s="167" t="s">
        <v>9</v>
      </c>
      <c r="C136" s="30">
        <f>'Cash flow statement'!B17/'Cash flow statement'!B$19</f>
        <v>-0.11179608772969769</v>
      </c>
      <c r="D136" s="30">
        <f>'Cash flow statement'!C17/'Cash flow statement'!C$19</f>
        <v>-0.18543199860926002</v>
      </c>
      <c r="E136" s="30">
        <f>'Cash flow statement'!D17/'Cash flow statement'!D$19</f>
        <v>2.3880597014925373E-2</v>
      </c>
      <c r="F136" s="30">
        <f>'Cash flow statement'!E17/'Cash flow statement'!E$19</f>
        <v>0.26532320755845246</v>
      </c>
      <c r="G136" s="30">
        <f>'Cash flow statement'!F17/'Cash flow statement'!F$19</f>
        <v>-0.11928651059085842</v>
      </c>
      <c r="H136" s="30">
        <f>'Cash flow statement'!G17/'Cash flow statement'!G$19</f>
        <v>5.8082859463850528E-2</v>
      </c>
      <c r="I136" s="30">
        <f>'Cash flow statement'!H17/'Cash flow statement'!H$19</f>
        <v>0.11468293219035058</v>
      </c>
      <c r="J136" s="30">
        <f>'Cash flow statement'!I17/'Cash flow statement'!I$19</f>
        <v>-5.243826195686152E-2</v>
      </c>
      <c r="K136" s="30">
        <f>'Cash flow statement'!J17/'Cash flow statement'!J$19</f>
        <v>-1.1020603737422138E-2</v>
      </c>
      <c r="L136" s="30">
        <f>'Cash flow statement'!K17/'Cash flow statement'!K$19</f>
        <v>0.10524048815506101</v>
      </c>
    </row>
    <row r="137" spans="2:12" x14ac:dyDescent="0.2">
      <c r="B137" s="167" t="s">
        <v>10</v>
      </c>
      <c r="C137" s="30">
        <f>'Cash flow statement'!B18/'Cash flow statement'!B$19</f>
        <v>-2.7030231179608774E-2</v>
      </c>
      <c r="D137" s="30">
        <f>'Cash flow statement'!C18/'Cash flow statement'!C$19</f>
        <v>4.6937474647968944E-3</v>
      </c>
      <c r="E137" s="30">
        <f>'Cash flow statement'!D18/'Cash flow statement'!D$19</f>
        <v>1.1530582382206615E-2</v>
      </c>
      <c r="F137" s="30">
        <f>'Cash flow statement'!E18/'Cash flow statement'!E$19</f>
        <v>2.8105005082820068E-3</v>
      </c>
      <c r="G137" s="30">
        <f>'Cash flow statement'!F18/'Cash flow statement'!F$19</f>
        <v>8.2628369073381863E-3</v>
      </c>
      <c r="H137" s="30">
        <f>'Cash flow statement'!G18/'Cash flow statement'!G$19</f>
        <v>-3.4050907121581368E-2</v>
      </c>
      <c r="I137" s="30">
        <f>'Cash flow statement'!H18/'Cash flow statement'!H$19</f>
        <v>7.5832509066930433E-3</v>
      </c>
      <c r="J137" s="30">
        <f>'Cash flow statement'!I18/'Cash flow statement'!I$19</f>
        <v>6.6427008440137544E-3</v>
      </c>
      <c r="K137" s="30">
        <f>'Cash flow statement'!J18/'Cash flow statement'!J$19</f>
        <v>2.0412074748442741E-2</v>
      </c>
      <c r="L137" s="30">
        <f>'Cash flow statement'!K18/'Cash flow statement'!K$19</f>
        <v>4.6661880832735104E-3</v>
      </c>
    </row>
    <row r="138" spans="2:12" x14ac:dyDescent="0.2">
      <c r="B138" s="28" t="s">
        <v>11</v>
      </c>
      <c r="C138" s="205">
        <f>'Cash flow statement'!B19/'Cash flow statement'!B$19</f>
        <v>1</v>
      </c>
      <c r="D138" s="205">
        <f>'Cash flow statement'!C19/'Cash flow statement'!C$19</f>
        <v>1</v>
      </c>
      <c r="E138" s="205">
        <f>'Cash flow statement'!D19/'Cash flow statement'!D$19</f>
        <v>1</v>
      </c>
      <c r="F138" s="205">
        <f>'Cash flow statement'!E19/'Cash flow statement'!E$19</f>
        <v>1</v>
      </c>
      <c r="G138" s="205">
        <f>'Cash flow statement'!F19/'Cash flow statement'!F$19</f>
        <v>1</v>
      </c>
      <c r="H138" s="205">
        <f>'Cash flow statement'!G19/'Cash flow statement'!G$19</f>
        <v>1</v>
      </c>
      <c r="I138" s="205">
        <f>'Cash flow statement'!H19/'Cash flow statement'!H$19</f>
        <v>1</v>
      </c>
      <c r="J138" s="205">
        <f>'Cash flow statement'!I19/'Cash flow statement'!I$19</f>
        <v>1</v>
      </c>
      <c r="K138" s="205">
        <f>'Cash flow statement'!J19/'Cash flow statement'!J$19</f>
        <v>1</v>
      </c>
      <c r="L138" s="205">
        <f>'Cash flow statement'!K19/'Cash flow statement'!K$19</f>
        <v>1</v>
      </c>
    </row>
    <row r="139" spans="2:12" x14ac:dyDescent="0.2">
      <c r="B139" s="21"/>
      <c r="C139" s="30"/>
      <c r="D139" s="30"/>
      <c r="E139" s="30"/>
      <c r="F139" s="30"/>
      <c r="G139" s="30"/>
      <c r="H139" s="30"/>
      <c r="I139" s="30"/>
      <c r="J139" s="30"/>
      <c r="K139" s="30"/>
      <c r="L139" s="30"/>
    </row>
    <row r="140" spans="2:12" x14ac:dyDescent="0.2">
      <c r="B140" s="21" t="s">
        <v>35</v>
      </c>
      <c r="C140" s="30"/>
      <c r="D140" s="30"/>
      <c r="E140" s="30"/>
      <c r="F140" s="30"/>
      <c r="G140" s="30"/>
      <c r="H140" s="30"/>
      <c r="I140" s="30"/>
      <c r="J140" s="30"/>
      <c r="K140" s="30"/>
      <c r="L140" s="30"/>
    </row>
    <row r="141" spans="2:12" x14ac:dyDescent="0.2">
      <c r="B141" s="14" t="s">
        <v>12</v>
      </c>
      <c r="C141" s="30">
        <f>'Cash flow statement'!B21/'Cash flow statement'!B$19</f>
        <v>-0.22169531713100177</v>
      </c>
      <c r="D141" s="30">
        <f>'Cash flow statement'!C21/'Cash flow statement'!C$19</f>
        <v>-0.20739410094454425</v>
      </c>
      <c r="E141" s="30">
        <f>'Cash flow statement'!D21/'Cash flow statement'!D$19</f>
        <v>-0.20877963125548726</v>
      </c>
      <c r="F141" s="30">
        <f>'Cash flow statement'!E21/'Cash flow statement'!E$19</f>
        <v>-0.19308736470728935</v>
      </c>
      <c r="G141" s="30">
        <f>'Cash flow statement'!F21/'Cash flow statement'!F$19</f>
        <v>-0.22263755000327889</v>
      </c>
      <c r="H141" s="30">
        <f>'Cash flow statement'!G21/'Cash flow statement'!G$19</f>
        <v>-0.15475223395613322</v>
      </c>
      <c r="I141" s="30">
        <f>'Cash flow statement'!H21/'Cash flow statement'!H$19</f>
        <v>-0.14386196285306077</v>
      </c>
      <c r="J141" s="30">
        <f>'Cash flow statement'!I21/'Cash flow statement'!I$19</f>
        <v>-0.16114410753360425</v>
      </c>
      <c r="K141" s="30">
        <f>'Cash flow statement'!J21/'Cash flow statement'!J$19</f>
        <v>-0.12898897939626258</v>
      </c>
      <c r="L141" s="30">
        <f>'Cash flow statement'!K21/'Cash flow statement'!K$19</f>
        <v>-8.937544867193109E-2</v>
      </c>
    </row>
    <row r="142" spans="2:12" x14ac:dyDescent="0.2">
      <c r="B142" s="28" t="s">
        <v>97</v>
      </c>
      <c r="C142" s="205">
        <f>'Historical Financial statements'!C148/'Historical Financial statements'!C144</f>
        <v>0.77830468286899823</v>
      </c>
      <c r="D142" s="205">
        <f>'Historical Financial statements'!D148/'Historical Financial statements'!D144</f>
        <v>0.79260589905545575</v>
      </c>
      <c r="E142" s="205">
        <f>'Historical Financial statements'!E148/'Historical Financial statements'!E144</f>
        <v>0.79122036874451274</v>
      </c>
      <c r="F142" s="205">
        <f>'Historical Financial statements'!F148/'Historical Financial statements'!F144</f>
        <v>0.80691263529271062</v>
      </c>
      <c r="G142" s="205">
        <f>'Historical Financial statements'!G148/'Historical Financial statements'!G144</f>
        <v>0.77736244999672111</v>
      </c>
      <c r="H142" s="205">
        <f>'Historical Financial statements'!H148/'Historical Financial statements'!H144</f>
        <v>0.84524776604386676</v>
      </c>
      <c r="I142" s="205">
        <f>'Historical Financial statements'!I148/'Historical Financial statements'!I144</f>
        <v>0.85613803714693926</v>
      </c>
      <c r="J142" s="205">
        <f>'Historical Financial statements'!J148/'Historical Financial statements'!J144</f>
        <v>0.8388558924663958</v>
      </c>
      <c r="K142" s="205">
        <f>'Historical Financial statements'!K148/'Historical Financial statements'!K144</f>
        <v>0.87101102060373747</v>
      </c>
      <c r="L142" s="205">
        <f>'Historical Financial statements'!L148/'Historical Financial statements'!L144</f>
        <v>0.91062455132806897</v>
      </c>
    </row>
    <row r="143" spans="2:12" x14ac:dyDescent="0.2">
      <c r="B143" s="3" t="s">
        <v>13</v>
      </c>
      <c r="C143" s="30">
        <f>'Cash flow statement'!B22/'Cash flow statement'!B$19</f>
        <v>2.3947836395969178E-2</v>
      </c>
      <c r="D143" s="30">
        <f>'Cash flow statement'!C22/'Cash flow statement'!C$19</f>
        <v>2.1440574839195689E-2</v>
      </c>
      <c r="E143" s="30">
        <f>'Cash flow statement'!D22/'Cash flow statement'!D$19</f>
        <v>2.4817091015510682E-2</v>
      </c>
      <c r="F143" s="30">
        <f>'Cash flow statement'!E22/'Cash flow statement'!E$19</f>
        <v>2.7507026251270706E-2</v>
      </c>
      <c r="G143" s="30">
        <f>'Cash flow statement'!F22/'Cash flow statement'!F$19</f>
        <v>1.626336153190373E-2</v>
      </c>
      <c r="H143" s="30">
        <f>'Cash flow statement'!G22/'Cash flow statement'!G$19</f>
        <v>3.6352558895207152E-2</v>
      </c>
      <c r="I143" s="30">
        <f>'Cash flow statement'!H22/'Cash flow statement'!H$19</f>
        <v>1.0330805583031103E-2</v>
      </c>
      <c r="J143" s="30">
        <f>'Cash flow statement'!I22/'Cash flow statement'!I$19</f>
        <v>3.0243826195686153E-2</v>
      </c>
      <c r="K143" s="30">
        <f>'Cash flow statement'!J22/'Cash flow statement'!J$19</f>
        <v>1.063727839003354E-2</v>
      </c>
      <c r="L143" s="30">
        <f>'Cash flow statement'!K22/'Cash flow statement'!K$19</f>
        <v>2.3043790380473796E-2</v>
      </c>
    </row>
    <row r="144" spans="2:12" x14ac:dyDescent="0.2">
      <c r="B144" s="14" t="s">
        <v>15</v>
      </c>
      <c r="C144" s="30">
        <f>'Cash flow statement'!B23/'Cash flow statement'!B$19</f>
        <v>-2.6259632483698874E-2</v>
      </c>
      <c r="D144" s="30">
        <f>'Cash flow statement'!C23/'Cash flow statement'!C$19</f>
        <v>-3.3145969751405227E-2</v>
      </c>
      <c r="E144" s="30">
        <f>'Cash flow statement'!D23/'Cash flow statement'!D$19</f>
        <v>-3.4123500146327188E-2</v>
      </c>
      <c r="F144" s="30">
        <f>'Cash flow statement'!E23/'Cash flow statement'!E$19</f>
        <v>-3.2530048436285354E-2</v>
      </c>
      <c r="G144" s="30">
        <f>'Cash flow statement'!F23/'Cash flow statement'!F$19</f>
        <v>-3.7313922224408158E-2</v>
      </c>
      <c r="H144" s="30">
        <f>'Cash flow statement'!G23/'Cash flow statement'!G$19</f>
        <v>-4.203899268887084E-2</v>
      </c>
      <c r="I144" s="30">
        <f>'Cash flow statement'!H23/'Cash flow statement'!H$19</f>
        <v>-3.3630069238377844E-2</v>
      </c>
      <c r="J144" s="30">
        <f>'Cash flow statement'!I23/'Cash flow statement'!I$19</f>
        <v>-5.5173491716161302E-2</v>
      </c>
      <c r="K144" s="30">
        <f>'Cash flow statement'!J23/'Cash flow statement'!J$19</f>
        <v>-5.9990416866315288E-2</v>
      </c>
      <c r="L144" s="30">
        <f>'Cash flow statement'!K23/'Cash flow statement'!K$19</f>
        <v>-4.0559942569992818E-2</v>
      </c>
    </row>
    <row r="145" spans="2:12" x14ac:dyDescent="0.2">
      <c r="B145" s="14" t="s">
        <v>16</v>
      </c>
      <c r="C145" s="30">
        <f>'Cash flow statement'!B24/'Cash flow statement'!B$19</f>
        <v>-0.13858921161825727</v>
      </c>
      <c r="D145" s="30">
        <f>'Cash flow statement'!C24/'Cash flow statement'!C$19</f>
        <v>-0.178072666164455</v>
      </c>
      <c r="E145" s="30">
        <f>'Cash flow statement'!D24/'Cash flow statement'!D$19</f>
        <v>-0.34258121158911325</v>
      </c>
      <c r="F145" s="30">
        <f>'Cash flow statement'!E24/'Cash flow statement'!E$19</f>
        <v>-0.2959397237337798</v>
      </c>
      <c r="G145" s="30">
        <f>'Cash flow statement'!F24/'Cash flow statement'!F$19</f>
        <v>-0.46173519575054101</v>
      </c>
      <c r="H145" s="30">
        <f>'Cash flow statement'!G24/'Cash flow statement'!G$19</f>
        <v>-0.25</v>
      </c>
      <c r="I145" s="30">
        <f>'Cash flow statement'!H24/'Cash flow statement'!H$19</f>
        <v>-0.34322453016815035</v>
      </c>
      <c r="J145" s="30">
        <f>'Cash flow statement'!I24/'Cash flow statement'!I$19</f>
        <v>-0.27829009065332916</v>
      </c>
      <c r="K145" s="30">
        <f>'Cash flow statement'!J24/'Cash flow statement'!J$19</f>
        <v>-0.56827982750359363</v>
      </c>
      <c r="L145" s="30">
        <f>'Cash flow statement'!K24/'Cash flow statement'!K$19</f>
        <v>-0.79992821249102652</v>
      </c>
    </row>
    <row r="146" spans="2:12" ht="30" x14ac:dyDescent="0.2">
      <c r="B146" s="14" t="s">
        <v>17</v>
      </c>
      <c r="C146" s="30">
        <f>'Cash flow statement'!B25/'Cash flow statement'!B$19</f>
        <v>0.14777711914641375</v>
      </c>
      <c r="D146" s="30">
        <f>'Cash flow statement'!C25/'Cash flow statement'!C$19</f>
        <v>0.16468679376484904</v>
      </c>
      <c r="E146" s="30">
        <f>'Cash flow statement'!D25/'Cash flow statement'!D$19</f>
        <v>0.33315774070822357</v>
      </c>
      <c r="F146" s="30">
        <f>'Cash flow statement'!E25/'Cash flow statement'!E$19</f>
        <v>0.23380972313580101</v>
      </c>
      <c r="G146" s="30">
        <f>'Cash flow statement'!F25/'Cash flow statement'!F$19</f>
        <v>0.42540494458653028</v>
      </c>
      <c r="H146" s="30">
        <f>'Cash flow statement'!G25/'Cash flow statement'!G$19</f>
        <v>0.2681424316274032</v>
      </c>
      <c r="I146" s="30">
        <f>'Cash flow statement'!H25/'Cash flow statement'!H$19</f>
        <v>0.30871524343334433</v>
      </c>
      <c r="J146" s="30">
        <f>'Cash flow statement'!I25/'Cash flow statement'!I$19</f>
        <v>0.24593623007189747</v>
      </c>
      <c r="K146" s="30">
        <f>'Cash flow statement'!J25/'Cash flow statement'!J$19</f>
        <v>0.44705318639195019</v>
      </c>
      <c r="L146" s="30">
        <f>'Cash flow statement'!K25/'Cash flow statement'!K$19</f>
        <v>0.76432160804020099</v>
      </c>
    </row>
    <row r="147" spans="2:12" x14ac:dyDescent="0.2">
      <c r="B147" s="14" t="s">
        <v>36</v>
      </c>
      <c r="C147" s="30">
        <f>'Cash flow statement'!B26/'Cash flow statement'!B$19</f>
        <v>-6.3900414937759331E-2</v>
      </c>
      <c r="D147" s="30">
        <f>'Cash flow statement'!C26/'Cash flow statement'!C$19</f>
        <v>-2.3063104827026715E-2</v>
      </c>
      <c r="E147" s="30">
        <f>'Cash flow statement'!D26/'Cash flow statement'!D$19</f>
        <v>-5.215100965759438E-2</v>
      </c>
      <c r="F147" s="30">
        <f>'Cash flow statement'!E26/'Cash flow statement'!E$19</f>
        <v>-0.12127010703821085</v>
      </c>
      <c r="G147" s="30">
        <f>'Cash flow statement'!F26/'Cash flow statement'!F$19</f>
        <v>-3.2985769558659582E-2</v>
      </c>
      <c r="H147" s="30">
        <f>'Cash flow statement'!G26/'Cash flow statement'!G$19</f>
        <v>0.45491470349309504</v>
      </c>
      <c r="I147" s="30">
        <f>'Cash flow statement'!H26/'Cash flow statement'!H$19</f>
        <v>2.6101769425211561E-2</v>
      </c>
      <c r="J147" s="30">
        <f>'Cash flow statement'!I26/'Cash flow statement'!I$19</f>
        <v>0</v>
      </c>
      <c r="K147" s="30">
        <f>'Cash flow statement'!J26/'Cash flow statement'!J$19</f>
        <v>0</v>
      </c>
      <c r="L147" s="30" t="s">
        <v>58</v>
      </c>
    </row>
    <row r="148" spans="2:12" x14ac:dyDescent="0.2">
      <c r="B148" s="14" t="s">
        <v>18</v>
      </c>
      <c r="C148" s="30">
        <f>'Cash flow statement'!B27/'Cash flow statement'!B$19</f>
        <v>-3.8885595732068762E-2</v>
      </c>
      <c r="D148" s="30">
        <f>'Cash flow statement'!C27/'Cash flow statement'!C$19</f>
        <v>-0.19406617604450369</v>
      </c>
      <c r="E148" s="30">
        <f>'Cash flow statement'!D27/'Cash flow statement'!D$19</f>
        <v>-0.33339186420836991</v>
      </c>
      <c r="F148" s="30">
        <f>'Cash flow statement'!E27/'Cash flow statement'!E$19</f>
        <v>-2.9659750044848412E-2</v>
      </c>
      <c r="G148" s="30">
        <f>'Cash flow statement'!F27/'Cash flow statement'!F$19</f>
        <v>-9.1153518263492692E-3</v>
      </c>
      <c r="H148" s="30">
        <f>'Cash flow statement'!G27/'Cash flow statement'!G$19</f>
        <v>-2.2089087462767396</v>
      </c>
      <c r="I148" s="30">
        <f>'Cash flow statement'!H27/'Cash flow statement'!H$19</f>
        <v>-1.8463567424991757E-2</v>
      </c>
      <c r="J148" s="30">
        <f>'Cash flow statement'!I27/'Cash flow statement'!I$19</f>
        <v>-0.25734604563926228</v>
      </c>
      <c r="K148" s="30">
        <f>'Cash flow statement'!J27/'Cash flow statement'!J$19</f>
        <v>-0.22501197891710589</v>
      </c>
      <c r="L148" s="30">
        <f>'Cash flow statement'!K27/'Cash flow statement'!K$19</f>
        <v>-0.36482412060301506</v>
      </c>
    </row>
    <row r="149" spans="2:12" x14ac:dyDescent="0.2">
      <c r="B149" s="14" t="s">
        <v>19</v>
      </c>
      <c r="C149" s="30">
        <f>'Cash flow statement'!B28/'Cash flow statement'!B$19</f>
        <v>0.13971547125074096</v>
      </c>
      <c r="D149" s="30">
        <f>'Cash flow statement'!C28/'Cash flow statement'!C$19</f>
        <v>-2.3236947325722894E-2</v>
      </c>
      <c r="E149" s="30">
        <f>'Cash flow statement'!D28/'Cash flow statement'!D$19</f>
        <v>-2.6573017266608136E-2</v>
      </c>
      <c r="F149" s="30">
        <f>'Cash flow statement'!E28/'Cash flow statement'!E$19</f>
        <v>-1.2258566046761945E-2</v>
      </c>
      <c r="G149" s="30" t="s">
        <v>58</v>
      </c>
      <c r="H149" s="30">
        <f>'Cash flow statement'!G28/'Cash flow statement'!G$19</f>
        <v>7.2840509071215809E-2</v>
      </c>
      <c r="I149" s="30">
        <f>'Cash flow statement'!H28/'Cash flow statement'!H$19</f>
        <v>2.7640400043960876E-2</v>
      </c>
      <c r="J149" s="30">
        <f>'Cash flow statement'!I28/'Cash flow statement'!I$19</f>
        <v>8.909034073147859E-3</v>
      </c>
      <c r="K149" s="30">
        <f>'Cash flow statement'!J28/'Cash flow statement'!J$19</f>
        <v>0.12189746046957355</v>
      </c>
      <c r="L149" s="30">
        <f>'Cash flow statement'!K28/'Cash flow statement'!K$19</f>
        <v>-2.8715003589375451E-4</v>
      </c>
    </row>
    <row r="150" spans="2:12" x14ac:dyDescent="0.2">
      <c r="B150" s="28" t="s">
        <v>20</v>
      </c>
      <c r="C150" s="205">
        <f>'Cash flow statement'!B29/'Cash flow statement'!B$19</f>
        <v>-0.17788974510966213</v>
      </c>
      <c r="D150" s="205">
        <f>'Cash flow statement'!C29/'Cash flow statement'!C$19</f>
        <v>-0.47285159645361302</v>
      </c>
      <c r="E150" s="205">
        <f>'Cash flow statement'!D29/'Cash flow statement'!D$19</f>
        <v>-0.63962540239976584</v>
      </c>
      <c r="F150" s="205">
        <f>'Cash flow statement'!E29/'Cash flow statement'!E$19</f>
        <v>-0.42342881062010407</v>
      </c>
      <c r="G150" s="205">
        <f>'Cash flow statement'!F29/'Cash flow statement'!F$19</f>
        <v>-0.32211948324480294</v>
      </c>
      <c r="H150" s="205">
        <f>'Cash flow statement'!G29/'Cash flow statement'!G$19</f>
        <v>-1.8234497698348227</v>
      </c>
      <c r="I150" s="205">
        <f>'Cash flow statement'!H29/'Cash flow statement'!H$19</f>
        <v>-0.16639191119903285</v>
      </c>
      <c r="J150" s="205">
        <f>'Cash flow statement'!I29/'Cash flow statement'!I$19</f>
        <v>-0.46686464520162552</v>
      </c>
      <c r="K150" s="205">
        <f>'Cash flow statement'!J29/'Cash flow statement'!J$19</f>
        <v>-0.40268327743172017</v>
      </c>
      <c r="L150" s="205">
        <f>'Cash flow statement'!K29/'Cash flow statement'!K$19</f>
        <v>-0.50760947595118444</v>
      </c>
    </row>
    <row r="151" spans="2:12" x14ac:dyDescent="0.2">
      <c r="B151" s="21"/>
      <c r="C151" s="30"/>
      <c r="D151" s="30"/>
      <c r="E151" s="30"/>
      <c r="F151" s="30"/>
      <c r="G151" s="30"/>
      <c r="H151" s="30"/>
      <c r="I151" s="30"/>
      <c r="J151" s="30"/>
      <c r="K151" s="30"/>
      <c r="L151" s="30"/>
    </row>
    <row r="152" spans="2:12" x14ac:dyDescent="0.2">
      <c r="B152" s="21" t="s">
        <v>37</v>
      </c>
      <c r="C152" s="30"/>
      <c r="D152" s="30"/>
      <c r="E152" s="30"/>
      <c r="F152" s="30"/>
      <c r="G152" s="30"/>
      <c r="H152" s="30"/>
      <c r="I152" s="30"/>
      <c r="J152" s="30"/>
      <c r="K152" s="30"/>
      <c r="L152" s="30"/>
    </row>
    <row r="153" spans="2:12" x14ac:dyDescent="0.2">
      <c r="B153" s="14" t="s">
        <v>21</v>
      </c>
      <c r="C153" s="30">
        <f>'Cash flow statement'!B31/'Cash flow statement'!B$19</f>
        <v>0.48488441019561351</v>
      </c>
      <c r="D153" s="30">
        <f>'Cash flow statement'!C31/'Cash flow statement'!C$19</f>
        <v>0.32102914759228141</v>
      </c>
      <c r="E153" s="30">
        <f>'Cash flow statement'!D31/'Cash flow statement'!D$19</f>
        <v>0.53450395083406499</v>
      </c>
      <c r="F153" s="30">
        <f>'Cash flow statement'!E31/'Cash flow statement'!E$19</f>
        <v>0.57663098726305084</v>
      </c>
      <c r="G153" s="30">
        <f>'Cash flow statement'!F31/'Cash flow statement'!F$19</f>
        <v>0.451898485146567</v>
      </c>
      <c r="H153" s="30">
        <f>'Cash flow statement'!G31/'Cash flow statement'!G$19</f>
        <v>2.1544137557541294</v>
      </c>
      <c r="I153" s="30">
        <f>'Cash flow statement'!H31/'Cash flow statement'!H$19</f>
        <v>0.57720628640509941</v>
      </c>
      <c r="J153" s="30">
        <f>'Cash flow statement'!I31/'Cash flow statement'!I$19</f>
        <v>4.079399812441388E-2</v>
      </c>
      <c r="K153" s="30">
        <f>'Cash flow statement'!J31/'Cash flow statement'!J$19</f>
        <v>0.74786775275515094</v>
      </c>
      <c r="L153" s="30">
        <f>'Cash flow statement'!K31/'Cash flow statement'!K$19</f>
        <v>0.68815506101938262</v>
      </c>
    </row>
    <row r="154" spans="2:12" x14ac:dyDescent="0.2">
      <c r="B154" s="14" t="s">
        <v>22</v>
      </c>
      <c r="C154" s="30">
        <f>'Cash flow statement'!B32/'Cash flow statement'!B$19</f>
        <v>-0.27528156490812095</v>
      </c>
      <c r="D154" s="30">
        <f>'Cash flow statement'!C32/'Cash flow statement'!C$19</f>
        <v>-0.32578084255664369</v>
      </c>
      <c r="E154" s="30">
        <f>'Cash flow statement'!D32/'Cash flow statement'!D$19</f>
        <v>-0.37430494585894059</v>
      </c>
      <c r="F154" s="30">
        <f>'Cash flow statement'!E32/'Cash flow statement'!E$19</f>
        <v>-0.40758237158404592</v>
      </c>
      <c r="G154" s="30">
        <f>'Cash flow statement'!F32/'Cash flow statement'!F$19</f>
        <v>-0.55957767722473606</v>
      </c>
      <c r="H154" s="30">
        <f>'Cash flow statement'!G32/'Cash flow statement'!G$19</f>
        <v>-0.87625236934741402</v>
      </c>
      <c r="I154" s="30">
        <f>'Cash flow statement'!H32/'Cash flow statement'!H$19</f>
        <v>-0.73442136498516319</v>
      </c>
      <c r="J154" s="30">
        <f>'Cash flow statement'!I32/'Cash flow statement'!I$19</f>
        <v>-0.67185057830572059</v>
      </c>
      <c r="K154" s="30">
        <f>'Cash flow statement'!J32/'Cash flow statement'!J$19</f>
        <v>-0.65165309056061327</v>
      </c>
      <c r="L154" s="30">
        <f>'Cash flow statement'!K32/'Cash flow statement'!K$19</f>
        <v>-0.36482412060301506</v>
      </c>
    </row>
    <row r="155" spans="2:12" x14ac:dyDescent="0.2">
      <c r="B155" s="3" t="s">
        <v>23</v>
      </c>
      <c r="C155" s="30">
        <f>'Cash flow statement'!B33/'Cash flow statement'!B$19</f>
        <v>-0.1039122703023118</v>
      </c>
      <c r="D155" s="30">
        <f>'Cash flow statement'!C33/'Cash flow statement'!C$19</f>
        <v>5.852697456104769E-3</v>
      </c>
      <c r="E155" s="30">
        <f>'Cash flow statement'!D33/'Cash flow statement'!D$19</f>
        <v>1.2759730757974833E-2</v>
      </c>
      <c r="F155" s="30">
        <f>'Cash flow statement'!E33/'Cash flow statement'!E$19</f>
        <v>3.7074687556060512E-2</v>
      </c>
      <c r="G155" s="30">
        <f>'Cash flow statement'!F33/'Cash flow statement'!F$19</f>
        <v>8.7940192799527833E-2</v>
      </c>
      <c r="H155" s="30">
        <f>'Cash flow statement'!G33/'Cash flow statement'!G$19</f>
        <v>-0.17580557812076902</v>
      </c>
      <c r="I155" s="30">
        <f>'Cash flow statement'!H33/'Cash flow statement'!H$19</f>
        <v>-4.6873282778327287E-2</v>
      </c>
      <c r="J155" s="30">
        <f>'Cash flow statement'!I33/'Cash flow statement'!I$19</f>
        <v>-3.1259768677711786E-3</v>
      </c>
      <c r="K155" s="30">
        <f>'Cash flow statement'!J33/'Cash flow statement'!J$19</f>
        <v>2.0795400095831338E-2</v>
      </c>
      <c r="L155" s="30">
        <f>'Cash flow statement'!K33/'Cash flow statement'!K$19</f>
        <v>-5.025125628140704E-4</v>
      </c>
    </row>
    <row r="156" spans="2:12" x14ac:dyDescent="0.2">
      <c r="B156" s="14" t="s">
        <v>24</v>
      </c>
      <c r="C156" s="30">
        <f>'Cash flow statement'!B34/'Cash flow statement'!B$19</f>
        <v>-0.8108476585655009</v>
      </c>
      <c r="D156" s="30">
        <f>'Cash flow statement'!C34/'Cash flow statement'!C$19</f>
        <v>-0.2670800254968998</v>
      </c>
      <c r="E156" s="30">
        <f>'Cash flow statement'!D34/'Cash flow statement'!D$19</f>
        <v>-0.20497512437810944</v>
      </c>
      <c r="F156" s="30">
        <f>'Cash flow statement'!E34/'Cash flow statement'!E$19</f>
        <v>-0.25952281289242363</v>
      </c>
      <c r="G156" s="30">
        <f>'Cash flow statement'!F34/'Cash flow statement'!F$19</f>
        <v>-0.29136336808971081</v>
      </c>
      <c r="H156" s="30">
        <f>'Cash flow statement'!G34/'Cash flow statement'!G$19</f>
        <v>-9.2133766585431903E-2</v>
      </c>
      <c r="I156" s="30" t="s">
        <v>58</v>
      </c>
      <c r="J156" s="30" t="s">
        <v>58</v>
      </c>
      <c r="K156" s="30" t="s">
        <v>58</v>
      </c>
      <c r="L156" s="30" t="s">
        <v>58</v>
      </c>
    </row>
    <row r="157" spans="2:12" x14ac:dyDescent="0.2">
      <c r="B157" s="14" t="s">
        <v>223</v>
      </c>
      <c r="C157" s="30" t="s">
        <v>58</v>
      </c>
      <c r="D157" s="30">
        <f>'Cash flow statement'!C35/'Cash flow statement'!C$19</f>
        <v>-1.4370979892217651E-2</v>
      </c>
      <c r="E157" s="30">
        <f>'Cash flow statement'!D35/'Cash flow statement'!D$19</f>
        <v>-7.3748902546093061E-3</v>
      </c>
      <c r="F157" s="30">
        <f>'Cash flow statement'!E35/'Cash flow statement'!E$19</f>
        <v>-1.1540991448902709E-2</v>
      </c>
      <c r="G157" s="30">
        <f>'Cash flow statement'!F35/'Cash flow statement'!F$19</f>
        <v>-1.1213850088530396E-2</v>
      </c>
      <c r="H157" s="30">
        <f>'Cash flow statement'!G35/'Cash flow statement'!G$19</f>
        <v>-1.8413214189006228E-2</v>
      </c>
      <c r="I157" s="30">
        <f>'Cash flow statement'!H35/'Cash flow statement'!H$19</f>
        <v>-1.6595230245081877E-2</v>
      </c>
      <c r="J157" s="30">
        <f>'Cash flow statement'!I35/'Cash flow statement'!I$19</f>
        <v>-2.4929665520475149E-2</v>
      </c>
      <c r="K157" s="30">
        <f>'Cash flow statement'!J35/'Cash flow statement'!J$19</f>
        <v>-3.900335409678965E-2</v>
      </c>
      <c r="L157" s="30">
        <f>'Cash flow statement'!K35/'Cash flow statement'!K$19</f>
        <v>-2.8858578607322327E-2</v>
      </c>
    </row>
    <row r="158" spans="2:12" x14ac:dyDescent="0.2">
      <c r="B158" s="14" t="s">
        <v>224</v>
      </c>
      <c r="C158" s="30">
        <f>'Cash flow statement'!B36/'Cash flow statement'!B$19</f>
        <v>4.2027267338470661E-2</v>
      </c>
      <c r="D158" s="30">
        <f>'Cash flow statement'!C36/'Cash flow statement'!C$19</f>
        <v>1.8659094860056787E-2</v>
      </c>
      <c r="E158" s="30" t="s">
        <v>58</v>
      </c>
      <c r="F158" s="30" t="s">
        <v>58</v>
      </c>
      <c r="G158" s="30" t="s">
        <v>58</v>
      </c>
      <c r="H158" s="30" t="s">
        <v>58</v>
      </c>
      <c r="I158" s="30" t="s">
        <v>58</v>
      </c>
      <c r="J158" s="30" t="s">
        <v>58</v>
      </c>
      <c r="K158" s="30" t="s">
        <v>58</v>
      </c>
      <c r="L158" s="30" t="s">
        <v>58</v>
      </c>
    </row>
    <row r="159" spans="2:12" x14ac:dyDescent="0.2">
      <c r="B159" s="14" t="s">
        <v>225</v>
      </c>
      <c r="C159" s="30" t="s">
        <v>58</v>
      </c>
      <c r="D159" s="30" t="s">
        <v>58</v>
      </c>
      <c r="E159" s="30">
        <f>'Cash flow statement'!D37/'Cash flow statement'!D$19</f>
        <v>1.1940298507462687E-2</v>
      </c>
      <c r="F159" s="30">
        <f>'Cash flow statement'!E37/'Cash flow statement'!E$19</f>
        <v>1.0464629552113856E-2</v>
      </c>
      <c r="G159" s="30">
        <f>'Cash flow statement'!F37/'Cash flow statement'!F$19</f>
        <v>7.2791658469407829E-3</v>
      </c>
      <c r="H159" s="30">
        <f>'Cash flow statement'!G37/'Cash flow statement'!G$19</f>
        <v>6.701868399675061E-3</v>
      </c>
      <c r="I159" s="30">
        <f>'Cash flow statement'!H37/'Cash flow statement'!H$19</f>
        <v>5.0555006044620291E-3</v>
      </c>
      <c r="J159" s="30">
        <f>'Cash flow statement'!I37/'Cash flow statement'!I$19</f>
        <v>5.4704595185995622E-3</v>
      </c>
      <c r="K159" s="30">
        <f>'Cash flow statement'!J37/'Cash flow statement'!J$19</f>
        <v>1.6866315285098226E-2</v>
      </c>
      <c r="L159" s="30">
        <f>'Cash flow statement'!K37/'Cash flow statement'!K$19</f>
        <v>1.2634601579325198E-2</v>
      </c>
    </row>
    <row r="160" spans="2:12" x14ac:dyDescent="0.2">
      <c r="B160" s="17" t="s">
        <v>47</v>
      </c>
      <c r="C160" s="30" t="s">
        <v>58</v>
      </c>
      <c r="D160" s="30" t="s">
        <v>58</v>
      </c>
      <c r="E160" s="30" t="s">
        <v>58</v>
      </c>
      <c r="F160" s="30" t="s">
        <v>58</v>
      </c>
      <c r="G160" s="30" t="s">
        <v>58</v>
      </c>
      <c r="H160" s="30" t="s">
        <v>58</v>
      </c>
      <c r="I160" s="30" t="s">
        <v>58</v>
      </c>
      <c r="J160" s="30">
        <f>'Cash flow statement'!I38/'Cash flow statement'!I$19</f>
        <v>6.8693341669271643E-2</v>
      </c>
      <c r="K160" s="30" t="s">
        <v>58</v>
      </c>
      <c r="L160" s="30" t="s">
        <v>58</v>
      </c>
    </row>
    <row r="161" spans="2:12" x14ac:dyDescent="0.2">
      <c r="B161" s="14" t="s">
        <v>25</v>
      </c>
      <c r="C161" s="30">
        <f>'Cash flow statement'!B39/'Cash flow statement'!B$19</f>
        <v>-0.25281564908120924</v>
      </c>
      <c r="D161" s="30">
        <f>'Cash flow statement'!C39/'Cash flow statement'!C$19</f>
        <v>-0.28376890537173322</v>
      </c>
      <c r="E161" s="30">
        <f>'Cash flow statement'!D39/'Cash flow statement'!D$19</f>
        <v>-0.30763827919227393</v>
      </c>
      <c r="F161" s="30">
        <f>'Cash flow statement'!E39/'Cash flow statement'!E$19</f>
        <v>-0.32924714465107935</v>
      </c>
      <c r="G161" s="30">
        <f>'Cash flow statement'!F39/'Cash flow statement'!F$19</f>
        <v>-0.37156534854744572</v>
      </c>
      <c r="H161" s="30">
        <f>'Cash flow statement'!G39/'Cash flow statement'!G$19</f>
        <v>-0.38633901976712698</v>
      </c>
      <c r="I161" s="30">
        <f>'Cash flow statement'!H39/'Cash flow statement'!H$19</f>
        <v>-0.31855148917463455</v>
      </c>
      <c r="J161" s="30">
        <f>'Cash flow statement'!I39/'Cash flow statement'!I$19</f>
        <v>-0.45865895592372619</v>
      </c>
      <c r="K161" s="30">
        <f>'Cash flow statement'!J39/'Cash flow statement'!J$19</f>
        <v>-0.57000479156684236</v>
      </c>
      <c r="L161" s="30">
        <f>'Cash flow statement'!K39/'Cash flow statement'!K$19</f>
        <v>-0.43359655419956927</v>
      </c>
    </row>
    <row r="162" spans="2:12" x14ac:dyDescent="0.2">
      <c r="B162" s="28" t="s">
        <v>38</v>
      </c>
      <c r="C162" s="205">
        <f>'Cash flow statement'!B40/'Cash flow statement'!B$19</f>
        <v>-0.91594546532305865</v>
      </c>
      <c r="D162" s="205">
        <f>'Cash flow statement'!C40/'Cash flow statement'!C$19</f>
        <v>-0.54545981340905136</v>
      </c>
      <c r="E162" s="205">
        <f>'Cash flow statement'!D40/'Cash flow statement'!D$19</f>
        <v>-0.33508925958443081</v>
      </c>
      <c r="F162" s="205">
        <f>'Cash flow statement'!E40/'Cash flow statement'!E$19</f>
        <v>-0.38372301620522631</v>
      </c>
      <c r="G162" s="205">
        <f>'Cash flow statement'!F40/'Cash flow statement'!F$19</f>
        <v>-0.68660240015738738</v>
      </c>
      <c r="H162" s="205">
        <f>'Cash flow statement'!G40/'Cash flow statement'!G$19</f>
        <v>0.61217167614405632</v>
      </c>
      <c r="I162" s="205">
        <f>'Cash flow statement'!H40/'Cash flow statement'!H$19</f>
        <v>-0.53417958017364542</v>
      </c>
      <c r="J162" s="205">
        <f>'Cash flow statement'!I40/'Cash flow statement'!I$19</f>
        <v>-1.043607377305408</v>
      </c>
      <c r="K162" s="205">
        <f>'Cash flow statement'!J40/'Cash flow statement'!J$19</f>
        <v>-0.47513176808816482</v>
      </c>
      <c r="L162" s="205">
        <f>'Cash flow statement'!K40/'Cash flow statement'!K$19</f>
        <v>-0.12699210337401293</v>
      </c>
    </row>
    <row r="163" spans="2:12" x14ac:dyDescent="0.2">
      <c r="B163" s="21"/>
      <c r="C163" s="30"/>
      <c r="D163" s="30"/>
      <c r="E163" s="30"/>
      <c r="F163" s="30"/>
      <c r="G163" s="30"/>
      <c r="H163" s="30"/>
      <c r="I163" s="30"/>
      <c r="J163" s="30"/>
      <c r="K163" s="30"/>
      <c r="L163" s="30"/>
    </row>
    <row r="164" spans="2:12" x14ac:dyDescent="0.2">
      <c r="B164" s="14" t="s">
        <v>26</v>
      </c>
      <c r="C164" s="30">
        <f>'Cash flow statement'!B41/'Cash flow statement'!B$19</f>
        <v>-3.8826318909306462E-2</v>
      </c>
      <c r="D164" s="30">
        <f>'Cash flow statement'!C41/'Cash flow statement'!C$19</f>
        <v>-2.7409167294431245E-2</v>
      </c>
      <c r="E164" s="30">
        <f>'Cash flow statement'!D41/'Cash flow statement'!D$19</f>
        <v>-2.9850746268656717E-3</v>
      </c>
      <c r="F164" s="30">
        <f>'Cash flow statement'!E41/'Cash flow statement'!E$19</f>
        <v>5.603061651617533E-2</v>
      </c>
      <c r="G164" s="30">
        <f>'Cash flow statement'!F41/'Cash flow statement'!F$19</f>
        <v>-3.2461144993114303E-2</v>
      </c>
      <c r="H164" s="30">
        <f>'Cash flow statement'!G41/'Cash flow statement'!G$19</f>
        <v>-1.1305171946926618E-2</v>
      </c>
      <c r="I164" s="30">
        <f>'Cash flow statement'!H41/'Cash flow statement'!H$19</f>
        <v>-4.7807451368282227E-3</v>
      </c>
      <c r="J164" s="30">
        <f>'Cash flow statement'!I41/'Cash flow statement'!I$19</f>
        <v>-1.44576430134417E-2</v>
      </c>
      <c r="K164" s="30">
        <f>'Cash flow statement'!J41/'Cash flow statement'!J$19</f>
        <v>-2.3382846190704361E-2</v>
      </c>
      <c r="L164" s="30">
        <f>'Cash flow statement'!K41/'Cash flow statement'!K$19</f>
        <v>6.4608758076094763E-4</v>
      </c>
    </row>
    <row r="165" spans="2:12" x14ac:dyDescent="0.2">
      <c r="B165" s="28" t="s">
        <v>27</v>
      </c>
      <c r="C165" s="205">
        <f>'Cash flow statement'!B42/'Cash flow statement'!B$19</f>
        <v>-0.13266152934202727</v>
      </c>
      <c r="D165" s="205">
        <f>'Cash flow statement'!C42/'Cash flow statement'!C$19</f>
        <v>-4.5720577157095668E-2</v>
      </c>
      <c r="E165" s="205">
        <f>'Cash flow statement'!D42/'Cash flow statement'!D$19</f>
        <v>2.2300263388937664E-2</v>
      </c>
      <c r="F165" s="205">
        <f>'Cash flow statement'!E42/'Cash flow statement'!E$19</f>
        <v>0.24887878969084495</v>
      </c>
      <c r="G165" s="205">
        <f>'Cash flow statement'!F42/'Cash flow statement'!F$19</f>
        <v>-4.1183028395304612E-2</v>
      </c>
      <c r="H165" s="205">
        <f>'Cash flow statement'!G42/'Cash flow statement'!G$19</f>
        <v>-0.22258326563769293</v>
      </c>
      <c r="I165" s="205">
        <f>'Cash flow statement'!H42/'Cash flow statement'!H$19</f>
        <v>0.29464776349049349</v>
      </c>
      <c r="J165" s="205">
        <f>'Cash flow statement'!I42/'Cash flow statement'!I$19</f>
        <v>-0.52492966552047515</v>
      </c>
      <c r="K165" s="205">
        <f>'Cash flow statement'!J42/'Cash flow statement'!J$19</f>
        <v>9.8802108289410634E-2</v>
      </c>
      <c r="L165" s="205">
        <f>'Cash flow statement'!K42/'Cash flow statement'!K$19</f>
        <v>0.36604450825556351</v>
      </c>
    </row>
    <row r="166" spans="2:12" x14ac:dyDescent="0.2">
      <c r="B166" s="14" t="s">
        <v>28</v>
      </c>
      <c r="C166" s="30">
        <f>'Cash flow statement'!B43/'Cash flow statement'!B$19</f>
        <v>0.63509187907528153</v>
      </c>
      <c r="D166" s="30">
        <f>'Cash flow statement'!C43/'Cash flow statement'!C$19</f>
        <v>0.49116300631627746</v>
      </c>
      <c r="E166" s="30">
        <f>'Cash flow statement'!D43/'Cash flow statement'!D$19</f>
        <v>0.44992683640620429</v>
      </c>
      <c r="F166" s="30">
        <f>'Cash flow statement'!E43/'Cash flow statement'!E$19</f>
        <v>0.48244932129402618</v>
      </c>
      <c r="G166" s="30">
        <f>'Cash flow statement'!F43/'Cash flow statement'!F$19</f>
        <v>0.80201980457734934</v>
      </c>
      <c r="H166" s="30">
        <f>'Cash flow statement'!G43/'Cash flow statement'!G$19</f>
        <v>0.78540481992959654</v>
      </c>
      <c r="I166" s="30">
        <f>'Cash flow statement'!H43/'Cash flow statement'!H$19</f>
        <v>0.45686339158149247</v>
      </c>
      <c r="J166" s="30">
        <f>'Cash flow statement'!I43/'Cash flow statement'!I$19</f>
        <v>1.068771491090966</v>
      </c>
      <c r="K166" s="30">
        <f>'Cash flow statement'!J43/'Cash flow statement'!J$19</f>
        <v>0.66689027311931004</v>
      </c>
      <c r="L166" s="30">
        <f>'Cash flow statement'!K43/'Cash flow statement'!K$19</f>
        <v>0.57358219669777455</v>
      </c>
    </row>
    <row r="167" spans="2:12" ht="15.75" thickBot="1" x14ac:dyDescent="0.25">
      <c r="B167" s="208" t="s">
        <v>29</v>
      </c>
      <c r="C167" s="207">
        <f>'Cash flow statement'!B44/'Cash flow statement'!B$19</f>
        <v>0.50243034973325429</v>
      </c>
      <c r="D167" s="207">
        <f>'Cash flow statement'!C44/'Cash flow statement'!C$19</f>
        <v>0.44544242915918181</v>
      </c>
      <c r="E167" s="207">
        <f>'Cash flow statement'!D44/'Cash flow statement'!D$19</f>
        <v>0.47222709979514194</v>
      </c>
      <c r="F167" s="207">
        <f>'Cash flow statement'!E44/'Cash flow statement'!E$19</f>
        <v>0.73132811098487116</v>
      </c>
      <c r="G167" s="207">
        <f>'Cash flow statement'!F44/'Cash flow statement'!F$19</f>
        <v>0.76083677618204471</v>
      </c>
      <c r="H167" s="207">
        <f>'Cash flow statement'!G44/'Cash flow statement'!G$19</f>
        <v>0.56282155429190361</v>
      </c>
      <c r="I167" s="207">
        <f>'Cash flow statement'!H44/'Cash flow statement'!H$19</f>
        <v>0.75151115507198596</v>
      </c>
      <c r="J167" s="207">
        <f>'Cash flow statement'!I44/'Cash flow statement'!I$19</f>
        <v>0.54384182557049077</v>
      </c>
      <c r="K167" s="207">
        <f>'Cash flow statement'!J44/'Cash flow statement'!J$19</f>
        <v>0.76569238140872065</v>
      </c>
      <c r="L167" s="207">
        <f>'Cash flow statement'!K44/'Cash flow statement'!K$19</f>
        <v>0.93962670495333811</v>
      </c>
    </row>
    <row r="168" spans="2:12" ht="15.75" thickTop="1" x14ac:dyDescent="0.2">
      <c r="B168" s="21"/>
      <c r="C168" s="30"/>
      <c r="D168" s="30"/>
      <c r="E168" s="30"/>
      <c r="F168" s="30"/>
      <c r="G168" s="30"/>
      <c r="H168" s="30"/>
      <c r="I168" s="30"/>
      <c r="J168" s="30"/>
      <c r="K168" s="30"/>
      <c r="L168" s="30"/>
    </row>
    <row r="169" spans="2:12" x14ac:dyDescent="0.2">
      <c r="B169" s="21" t="s">
        <v>30</v>
      </c>
      <c r="C169" s="30"/>
      <c r="D169" s="30"/>
      <c r="E169" s="30"/>
      <c r="F169" s="30"/>
      <c r="G169" s="30"/>
      <c r="H169" s="30"/>
      <c r="I169" s="30"/>
      <c r="J169" s="30"/>
      <c r="K169" s="30"/>
      <c r="L169" s="30"/>
    </row>
    <row r="170" spans="2:12" x14ac:dyDescent="0.2">
      <c r="B170" s="14" t="s">
        <v>31</v>
      </c>
      <c r="C170" s="30">
        <f>'Cash flow statement'!B46/'Cash flow statement'!B$19</f>
        <v>0.34072317723770007</v>
      </c>
      <c r="D170" s="30">
        <f>'Cash flow statement'!C46/'Cash flow statement'!C$19</f>
        <v>0.15396650634525119</v>
      </c>
      <c r="E170" s="30">
        <f>'Cash flow statement'!D46/'Cash flow statement'!D$19</f>
        <v>6.3096283289435173E-2</v>
      </c>
      <c r="F170" s="30">
        <f>'Cash flow statement'!E46/'Cash flow statement'!E$19</f>
        <v>9.5497219398433295E-2</v>
      </c>
      <c r="G170" s="30">
        <f>'Cash flow statement'!F46/'Cash flow statement'!F$19</f>
        <v>0.11443373335956457</v>
      </c>
      <c r="H170" s="30">
        <f>'Cash flow statement'!G46/'Cash flow statement'!G$19</f>
        <v>0.14155158407798538</v>
      </c>
      <c r="I170" s="30">
        <f>'Cash flow statement'!H46/'Cash flow statement'!H$19</f>
        <v>0.12380481371579294</v>
      </c>
      <c r="J170" s="30">
        <f>'Cash flow statement'!I46/'Cash flow statement'!I$19</f>
        <v>0.16434823382306971</v>
      </c>
      <c r="K170" s="30">
        <f>'Cash flow statement'!J46/'Cash flow statement'!J$19</f>
        <v>0.17872544321993292</v>
      </c>
      <c r="L170" s="30">
        <f>'Cash flow statement'!K46/'Cash flow statement'!K$19</f>
        <v>0.112275664034458</v>
      </c>
    </row>
    <row r="171" spans="2:12" x14ac:dyDescent="0.2">
      <c r="B171" s="14" t="s">
        <v>32</v>
      </c>
      <c r="C171" s="30">
        <f>'Cash flow statement'!B47/'Cash flow statement'!B$19</f>
        <v>6.2892708950800236E-2</v>
      </c>
      <c r="D171" s="30">
        <f>'Cash flow statement'!C47/'Cash flow statement'!C$19</f>
        <v>5.7657762067566787E-2</v>
      </c>
      <c r="E171" s="30">
        <f>'Cash flow statement'!D47/'Cash flow statement'!D$19</f>
        <v>6.7778753292361715E-2</v>
      </c>
      <c r="F171" s="30">
        <f>'Cash flow statement'!E47/'Cash flow statement'!E$19</f>
        <v>7.2235842851163065E-2</v>
      </c>
      <c r="G171" s="30">
        <f>'Cash flow statement'!F47/'Cash flow statement'!F$19</f>
        <v>9.3317594596366973E-2</v>
      </c>
      <c r="H171" s="30">
        <f>'Cash flow statement'!G47/'Cash flow statement'!G$19</f>
        <v>0.11406715407527755</v>
      </c>
      <c r="I171" s="30">
        <f>'Cash flow statement'!H47/'Cash flow statement'!H$19</f>
        <v>0.10056050115397297</v>
      </c>
      <c r="J171" s="30">
        <f>'Cash flow statement'!I47/'Cash flow statement'!I$19</f>
        <v>0.11816192560175055</v>
      </c>
      <c r="K171" s="30">
        <f>'Cash flow statement'!J47/'Cash flow statement'!J$19</f>
        <v>0.13425970292285577</v>
      </c>
      <c r="L171" s="30">
        <f>'Cash flow statement'!K47/'Cash flow statement'!K$19</f>
        <v>0.11974156496769563</v>
      </c>
    </row>
    <row r="172" spans="2:12" x14ac:dyDescent="0.2">
      <c r="B172" s="15"/>
      <c r="C172" s="130"/>
      <c r="D172" s="130"/>
      <c r="E172" s="130"/>
      <c r="F172" s="130"/>
      <c r="G172" s="130"/>
      <c r="H172" s="130"/>
      <c r="I172" s="130"/>
      <c r="J172" s="130"/>
      <c r="K172" s="130"/>
      <c r="L172" s="130"/>
    </row>
    <row r="173" spans="2:12" x14ac:dyDescent="0.2">
      <c r="B173" s="15"/>
      <c r="C173" s="130"/>
      <c r="D173" s="130"/>
      <c r="E173" s="130"/>
      <c r="F173" s="130"/>
      <c r="G173" s="130"/>
      <c r="H173" s="130"/>
      <c r="I173" s="130"/>
      <c r="J173" s="130"/>
      <c r="K173" s="130"/>
      <c r="L173" s="130"/>
    </row>
    <row r="174" spans="2:12" x14ac:dyDescent="0.2">
      <c r="B174" s="15"/>
      <c r="C174" s="130"/>
      <c r="D174" s="130"/>
      <c r="E174" s="130"/>
      <c r="F174" s="130"/>
      <c r="G174" s="130"/>
      <c r="H174" s="130"/>
      <c r="I174" s="130"/>
      <c r="J174" s="130"/>
      <c r="K174" s="130"/>
      <c r="L174" s="130"/>
    </row>
    <row r="175" spans="2:12" x14ac:dyDescent="0.2">
      <c r="B175" s="15"/>
      <c r="C175" s="130"/>
      <c r="D175" s="130"/>
      <c r="E175" s="130"/>
      <c r="F175" s="130"/>
      <c r="G175" s="130"/>
      <c r="H175" s="130"/>
      <c r="I175" s="130"/>
      <c r="J175" s="130"/>
      <c r="K175" s="130"/>
      <c r="L175" s="130"/>
    </row>
    <row r="176" spans="2:12" x14ac:dyDescent="0.2">
      <c r="B176" s="15"/>
      <c r="C176" s="130"/>
      <c r="D176" s="130"/>
      <c r="E176" s="130"/>
      <c r="F176" s="130"/>
      <c r="G176" s="130"/>
      <c r="H176" s="130"/>
      <c r="I176" s="130"/>
      <c r="J176" s="130"/>
      <c r="K176" s="130"/>
      <c r="L176" s="130"/>
    </row>
    <row r="177" spans="1:12" x14ac:dyDescent="0.2">
      <c r="A177" s="3" t="s">
        <v>182</v>
      </c>
      <c r="B177" s="15"/>
      <c r="C177" s="130"/>
      <c r="D177" s="130"/>
      <c r="E177" s="130"/>
      <c r="F177" s="130"/>
      <c r="G177" s="130"/>
      <c r="H177" s="130"/>
      <c r="I177" s="130"/>
      <c r="J177" s="130"/>
      <c r="K177" s="130"/>
      <c r="L177" s="130"/>
    </row>
  </sheetData>
  <mergeCells count="1">
    <mergeCell ref="B2:L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21"/>
  <sheetViews>
    <sheetView showGridLines="0" workbookViewId="0"/>
  </sheetViews>
  <sheetFormatPr defaultRowHeight="15" x14ac:dyDescent="0.2"/>
  <cols>
    <col min="1" max="1" width="3" style="3" customWidth="1"/>
    <col min="2" max="2" width="15" style="3" customWidth="1"/>
    <col min="3" max="3" width="9" style="10" customWidth="1"/>
    <col min="4" max="4" width="14.6640625" style="10" customWidth="1"/>
    <col min="5" max="5" width="22.1640625" style="10" customWidth="1"/>
    <col min="6" max="6" width="3" style="3" customWidth="1"/>
    <col min="7" max="7" width="15" style="3" customWidth="1"/>
    <col min="8" max="8" width="8" style="3" customWidth="1"/>
    <col min="9" max="9" width="14.6640625" style="3" customWidth="1"/>
    <col min="10" max="10" width="18.33203125" style="3" customWidth="1"/>
    <col min="11" max="11" width="3" style="3" customWidth="1"/>
    <col min="12" max="12" width="15" style="3" customWidth="1"/>
    <col min="13" max="13" width="8" style="3" customWidth="1"/>
    <col min="14" max="14" width="14.6640625" style="3" customWidth="1"/>
    <col min="15" max="15" width="18.33203125" style="3" customWidth="1"/>
    <col min="16" max="16" width="3" style="3" customWidth="1"/>
    <col min="17" max="17" width="14" style="3" customWidth="1"/>
    <col min="18" max="18" width="8.83203125" style="3" customWidth="1"/>
    <col min="19" max="19" width="15.6640625" style="3" customWidth="1"/>
    <col min="20" max="20" width="23.33203125" style="3" customWidth="1"/>
    <col min="21" max="21" width="12.83203125" style="10" customWidth="1"/>
    <col min="22" max="22" width="19.1640625" style="10" bestFit="1" customWidth="1"/>
    <col min="23" max="16384" width="9.33203125" style="3"/>
  </cols>
  <sheetData>
    <row r="2" spans="2:22" ht="18.75" x14ac:dyDescent="0.2">
      <c r="B2" s="337" t="s">
        <v>495</v>
      </c>
      <c r="C2" s="337"/>
      <c r="D2" s="337"/>
      <c r="E2" s="337"/>
      <c r="F2" s="337"/>
      <c r="G2" s="337"/>
      <c r="H2" s="337"/>
      <c r="I2" s="337"/>
      <c r="J2" s="337"/>
      <c r="K2" s="337"/>
      <c r="L2" s="337"/>
      <c r="M2" s="337"/>
      <c r="N2" s="337"/>
      <c r="O2" s="337"/>
      <c r="P2" s="337"/>
      <c r="Q2" s="337"/>
      <c r="R2" s="337"/>
      <c r="S2" s="337"/>
      <c r="T2" s="337"/>
      <c r="U2" s="337"/>
      <c r="V2" s="337"/>
    </row>
    <row r="4" spans="2:22" x14ac:dyDescent="0.2">
      <c r="B4" s="228" t="s">
        <v>473</v>
      </c>
    </row>
    <row r="5" spans="2:22" x14ac:dyDescent="0.2">
      <c r="B5" s="339" t="s">
        <v>322</v>
      </c>
      <c r="C5" s="339"/>
      <c r="D5" s="339"/>
      <c r="E5" s="339"/>
      <c r="G5" s="339" t="s">
        <v>324</v>
      </c>
      <c r="H5" s="339"/>
      <c r="I5" s="339"/>
      <c r="J5" s="339"/>
      <c r="L5" s="339" t="s">
        <v>422</v>
      </c>
      <c r="M5" s="339"/>
      <c r="N5" s="339"/>
      <c r="O5" s="339"/>
      <c r="Q5" s="339" t="s">
        <v>327</v>
      </c>
      <c r="R5" s="339"/>
      <c r="S5" s="339"/>
      <c r="T5" s="339"/>
      <c r="U5" s="339"/>
      <c r="V5" s="339"/>
    </row>
    <row r="6" spans="2:22" x14ac:dyDescent="0.2">
      <c r="B6" s="166" t="s">
        <v>323</v>
      </c>
      <c r="C6" s="218" t="s">
        <v>85</v>
      </c>
      <c r="D6" s="218" t="s">
        <v>154</v>
      </c>
      <c r="E6" s="218" t="s">
        <v>227</v>
      </c>
      <c r="G6" s="166" t="s">
        <v>323</v>
      </c>
      <c r="H6" s="218" t="s">
        <v>85</v>
      </c>
      <c r="I6" s="218" t="s">
        <v>325</v>
      </c>
      <c r="J6" s="218" t="s">
        <v>326</v>
      </c>
      <c r="L6" s="166" t="s">
        <v>323</v>
      </c>
      <c r="M6" s="218" t="s">
        <v>85</v>
      </c>
      <c r="N6" s="218" t="s">
        <v>423</v>
      </c>
      <c r="O6" s="218" t="s">
        <v>424</v>
      </c>
      <c r="Q6" s="166" t="s">
        <v>323</v>
      </c>
      <c r="R6" s="218" t="s">
        <v>85</v>
      </c>
      <c r="S6" s="218" t="s">
        <v>328</v>
      </c>
      <c r="T6" s="218" t="s">
        <v>329</v>
      </c>
      <c r="U6" s="218" t="s">
        <v>178</v>
      </c>
      <c r="V6" s="218" t="s">
        <v>330</v>
      </c>
    </row>
    <row r="7" spans="2:22" x14ac:dyDescent="0.2">
      <c r="B7" s="3">
        <v>1</v>
      </c>
      <c r="C7" s="222">
        <v>42004</v>
      </c>
      <c r="D7" s="7">
        <f t="array" ref="D7:D16">TRANSPOSE('Historical Financial statements'!C6:L6)</f>
        <v>92793</v>
      </c>
      <c r="G7" s="3">
        <v>1</v>
      </c>
      <c r="H7" s="222">
        <v>42004</v>
      </c>
      <c r="I7" s="7">
        <f t="array" ref="I7:I16">TRANSPOSE('Historical Financial statements'!C18:L18)</f>
        <v>17790</v>
      </c>
      <c r="J7" s="10"/>
      <c r="L7" s="3">
        <v>1</v>
      </c>
      <c r="M7" s="222">
        <v>42004</v>
      </c>
      <c r="N7" s="7">
        <f t="array" ref="N7:N16">TRANSPOSE('Historical Financial statements'!C148:L148)</f>
        <v>13130</v>
      </c>
      <c r="O7" s="10"/>
      <c r="Q7" s="3">
        <v>1</v>
      </c>
      <c r="R7" s="222">
        <v>42004</v>
      </c>
      <c r="S7" s="225">
        <f t="array" ref="S7:S16">TRANSPOSE('Historical Financial statements'!C50:L50)</f>
        <v>11.9</v>
      </c>
      <c r="T7" s="10"/>
      <c r="U7" s="10">
        <f t="array" ref="U7:U16">TRANSPOSE('Historical Financial statements'!C52:L52)</f>
        <v>11.97</v>
      </c>
    </row>
    <row r="8" spans="2:22" x14ac:dyDescent="0.2">
      <c r="B8" s="3">
        <f>B7+1</f>
        <v>2</v>
      </c>
      <c r="C8" s="222">
        <f t="shared" ref="C8:C16" si="0">EDATE(C7,12)</f>
        <v>42369</v>
      </c>
      <c r="D8" s="7">
        <v>81742</v>
      </c>
      <c r="E8" s="29">
        <f>D8/D7-1</f>
        <v>-0.11909303503497026</v>
      </c>
      <c r="G8" s="3">
        <f>G7+1</f>
        <v>2</v>
      </c>
      <c r="H8" s="222">
        <f t="shared" ref="H8:H16" si="1">EDATE(H7,12)</f>
        <v>42369</v>
      </c>
      <c r="I8" s="7">
        <v>15008</v>
      </c>
      <c r="J8" s="29">
        <f>I8/I7-1</f>
        <v>-0.15637998875772907</v>
      </c>
      <c r="L8" s="3">
        <f>L7+1</f>
        <v>2</v>
      </c>
      <c r="M8" s="222">
        <f t="shared" ref="M8:M21" si="2">EDATE(M7,12)</f>
        <v>42369</v>
      </c>
      <c r="N8" s="7">
        <v>13678</v>
      </c>
      <c r="O8" s="29">
        <f>N8/N7-1</f>
        <v>4.1736481340441722E-2</v>
      </c>
      <c r="Q8" s="3">
        <f>Q7+1</f>
        <v>2</v>
      </c>
      <c r="R8" s="222">
        <f t="shared" ref="R8:R16" si="3">EDATE(R7,12)</f>
        <v>42369</v>
      </c>
      <c r="S8" s="225">
        <v>13.42</v>
      </c>
      <c r="T8" s="29">
        <f>S8/S7-1</f>
        <v>0.12773109243697478</v>
      </c>
      <c r="U8" s="10">
        <v>13.48</v>
      </c>
      <c r="V8" s="29">
        <f>U8/U7-1</f>
        <v>0.12614870509607345</v>
      </c>
    </row>
    <row r="9" spans="2:22" x14ac:dyDescent="0.2">
      <c r="B9" s="3">
        <f t="shared" ref="B9:B21" si="4">B8+1</f>
        <v>3</v>
      </c>
      <c r="C9" s="222">
        <f t="shared" si="0"/>
        <v>42735</v>
      </c>
      <c r="D9" s="7">
        <v>79920</v>
      </c>
      <c r="E9" s="29">
        <f t="shared" ref="E9:E21" si="5">D9/D8-1</f>
        <v>-2.2289643023170491E-2</v>
      </c>
      <c r="G9" s="3">
        <f t="shared" ref="G9:G21" si="6">G8+1</f>
        <v>3</v>
      </c>
      <c r="H9" s="222">
        <f t="shared" si="1"/>
        <v>42735</v>
      </c>
      <c r="I9" s="7">
        <v>11923</v>
      </c>
      <c r="J9" s="29">
        <f t="shared" ref="J9:J21" si="7">I9/I8-1</f>
        <v>-0.20555703624733479</v>
      </c>
      <c r="L9" s="3">
        <f t="shared" ref="L9:L21" si="8">L8+1</f>
        <v>3</v>
      </c>
      <c r="M9" s="222">
        <f t="shared" si="2"/>
        <v>42735</v>
      </c>
      <c r="N9" s="7">
        <v>13518</v>
      </c>
      <c r="O9" s="29">
        <f t="shared" ref="O9:O21" si="9">N9/N8-1</f>
        <v>-1.1697616610615635E-2</v>
      </c>
      <c r="Q9" s="3">
        <f t="shared" ref="Q9:Q21" si="10">Q8+1</f>
        <v>3</v>
      </c>
      <c r="R9" s="222">
        <f t="shared" si="3"/>
        <v>42735</v>
      </c>
      <c r="S9" s="225">
        <v>12.38</v>
      </c>
      <c r="T9" s="29">
        <f t="shared" ref="T9:T21" si="11">S9/S8-1</f>
        <v>-7.7496274217585648E-2</v>
      </c>
      <c r="U9" s="10">
        <v>12.43</v>
      </c>
      <c r="V9" s="29">
        <f t="shared" ref="V9:V21" si="12">U9/U8-1</f>
        <v>-7.7893175074184029E-2</v>
      </c>
    </row>
    <row r="10" spans="2:22" x14ac:dyDescent="0.2">
      <c r="B10" s="3">
        <f t="shared" si="4"/>
        <v>4</v>
      </c>
      <c r="C10" s="222">
        <f t="shared" si="0"/>
        <v>43100</v>
      </c>
      <c r="D10" s="7">
        <v>79139</v>
      </c>
      <c r="E10" s="29">
        <f t="shared" si="5"/>
        <v>-9.7722722722722866E-3</v>
      </c>
      <c r="G10" s="3">
        <f t="shared" si="6"/>
        <v>4</v>
      </c>
      <c r="H10" s="222">
        <f t="shared" si="1"/>
        <v>43100</v>
      </c>
      <c r="I10" s="7">
        <v>11673</v>
      </c>
      <c r="J10" s="29">
        <f t="shared" si="7"/>
        <v>-2.0967877212111019E-2</v>
      </c>
      <c r="L10" s="3">
        <f t="shared" si="8"/>
        <v>4</v>
      </c>
      <c r="M10" s="222">
        <f t="shared" si="2"/>
        <v>43100</v>
      </c>
      <c r="N10" s="7">
        <v>13494</v>
      </c>
      <c r="O10" s="29">
        <f t="shared" si="9"/>
        <v>-1.775410563692903E-3</v>
      </c>
      <c r="Q10" s="3">
        <f t="shared" si="10"/>
        <v>4</v>
      </c>
      <c r="R10" s="222">
        <f t="shared" si="3"/>
        <v>43100</v>
      </c>
      <c r="S10" s="225">
        <v>6.14</v>
      </c>
      <c r="T10" s="29">
        <f t="shared" si="11"/>
        <v>-0.50403877221324722</v>
      </c>
      <c r="U10" s="10">
        <v>6.17</v>
      </c>
      <c r="V10" s="29">
        <f t="shared" si="12"/>
        <v>-0.50362027353177796</v>
      </c>
    </row>
    <row r="11" spans="2:22" x14ac:dyDescent="0.2">
      <c r="B11" s="3">
        <f t="shared" si="4"/>
        <v>5</v>
      </c>
      <c r="C11" s="222">
        <f t="shared" si="0"/>
        <v>43465</v>
      </c>
      <c r="D11" s="7">
        <v>79591</v>
      </c>
      <c r="E11" s="29">
        <f t="shared" si="5"/>
        <v>5.7114696925661956E-3</v>
      </c>
      <c r="G11" s="3">
        <f t="shared" si="6"/>
        <v>5</v>
      </c>
      <c r="H11" s="222">
        <f t="shared" si="1"/>
        <v>43465</v>
      </c>
      <c r="I11" s="7">
        <v>12192</v>
      </c>
      <c r="J11" s="29">
        <f t="shared" si="7"/>
        <v>4.4461578000513979E-2</v>
      </c>
      <c r="L11" s="3">
        <f t="shared" si="8"/>
        <v>5</v>
      </c>
      <c r="M11" s="222">
        <f t="shared" si="2"/>
        <v>43465</v>
      </c>
      <c r="N11" s="7">
        <v>11854</v>
      </c>
      <c r="O11" s="29">
        <f t="shared" si="9"/>
        <v>-0.12153549725804058</v>
      </c>
      <c r="Q11" s="3">
        <f t="shared" si="10"/>
        <v>5</v>
      </c>
      <c r="R11" s="222">
        <f t="shared" si="3"/>
        <v>43465</v>
      </c>
      <c r="S11" s="225">
        <v>9.52</v>
      </c>
      <c r="T11" s="29">
        <f t="shared" si="11"/>
        <v>0.55048859934853422</v>
      </c>
      <c r="U11" s="10">
        <v>9.57</v>
      </c>
      <c r="V11" s="29">
        <f t="shared" si="12"/>
        <v>0.55105348460291737</v>
      </c>
    </row>
    <row r="12" spans="2:22" x14ac:dyDescent="0.2">
      <c r="B12" s="3">
        <f t="shared" si="4"/>
        <v>6</v>
      </c>
      <c r="C12" s="222">
        <f t="shared" si="0"/>
        <v>43830</v>
      </c>
      <c r="D12" s="7">
        <v>57714</v>
      </c>
      <c r="E12" s="29">
        <f t="shared" si="5"/>
        <v>-0.27486776143031244</v>
      </c>
      <c r="G12" s="3">
        <f t="shared" si="6"/>
        <v>6</v>
      </c>
      <c r="H12" s="222">
        <f t="shared" si="1"/>
        <v>43830</v>
      </c>
      <c r="I12" s="7">
        <v>6900</v>
      </c>
      <c r="J12" s="29">
        <f t="shared" si="7"/>
        <v>-0.43405511811023623</v>
      </c>
      <c r="L12" s="3">
        <f t="shared" si="8"/>
        <v>6</v>
      </c>
      <c r="M12" s="222">
        <f t="shared" si="2"/>
        <v>43830</v>
      </c>
      <c r="N12" s="7">
        <v>12486</v>
      </c>
      <c r="O12" s="29">
        <f t="shared" si="9"/>
        <v>5.3315336595242124E-2</v>
      </c>
      <c r="Q12" s="3">
        <f t="shared" si="10"/>
        <v>6</v>
      </c>
      <c r="R12" s="222">
        <f t="shared" si="3"/>
        <v>43830</v>
      </c>
      <c r="S12" s="225">
        <v>10.56</v>
      </c>
      <c r="T12" s="29">
        <f t="shared" si="11"/>
        <v>0.10924369747899165</v>
      </c>
      <c r="U12" s="10">
        <v>10.63</v>
      </c>
      <c r="V12" s="29">
        <f t="shared" si="12"/>
        <v>0.11076280041797282</v>
      </c>
    </row>
    <row r="13" spans="2:22" x14ac:dyDescent="0.2">
      <c r="B13" s="3">
        <f t="shared" si="4"/>
        <v>7</v>
      </c>
      <c r="C13" s="222">
        <f t="shared" si="0"/>
        <v>44196</v>
      </c>
      <c r="D13" s="7">
        <v>55179</v>
      </c>
      <c r="E13" s="29">
        <f t="shared" si="5"/>
        <v>-4.3923484769726628E-2</v>
      </c>
      <c r="G13" s="3">
        <f t="shared" si="6"/>
        <v>7</v>
      </c>
      <c r="H13" s="222">
        <f t="shared" si="1"/>
        <v>44196</v>
      </c>
      <c r="I13" s="7">
        <v>4042</v>
      </c>
      <c r="J13" s="29">
        <f t="shared" si="7"/>
        <v>-0.41420289855072467</v>
      </c>
      <c r="L13" s="3">
        <f t="shared" si="8"/>
        <v>7</v>
      </c>
      <c r="M13" s="222">
        <f t="shared" si="2"/>
        <v>44196</v>
      </c>
      <c r="N13" s="7">
        <v>15580</v>
      </c>
      <c r="O13" s="29">
        <f t="shared" si="9"/>
        <v>0.24779753323722575</v>
      </c>
      <c r="Q13" s="3">
        <f t="shared" si="10"/>
        <v>7</v>
      </c>
      <c r="R13" s="222">
        <f t="shared" si="3"/>
        <v>44196</v>
      </c>
      <c r="S13" s="225">
        <v>6.23</v>
      </c>
      <c r="T13" s="29">
        <f t="shared" si="11"/>
        <v>-0.41003787878787878</v>
      </c>
      <c r="U13" s="10">
        <v>6.28</v>
      </c>
      <c r="V13" s="29">
        <f t="shared" si="12"/>
        <v>-0.40921919096895576</v>
      </c>
    </row>
    <row r="14" spans="2:22" x14ac:dyDescent="0.2">
      <c r="B14" s="3">
        <f t="shared" si="4"/>
        <v>8</v>
      </c>
      <c r="C14" s="222">
        <f t="shared" si="0"/>
        <v>44561</v>
      </c>
      <c r="D14" s="7">
        <v>57351</v>
      </c>
      <c r="E14" s="29">
        <f t="shared" si="5"/>
        <v>3.9362801065622843E-2</v>
      </c>
      <c r="G14" s="3">
        <f t="shared" si="6"/>
        <v>8</v>
      </c>
      <c r="H14" s="222">
        <f t="shared" si="1"/>
        <v>44561</v>
      </c>
      <c r="I14" s="7">
        <v>6253</v>
      </c>
      <c r="J14" s="29">
        <f t="shared" si="7"/>
        <v>0.54700643245917857</v>
      </c>
      <c r="L14" s="3">
        <f t="shared" si="8"/>
        <v>8</v>
      </c>
      <c r="M14" s="222">
        <f t="shared" si="2"/>
        <v>44561</v>
      </c>
      <c r="N14" s="7">
        <v>10734</v>
      </c>
      <c r="O14" s="29">
        <f t="shared" si="9"/>
        <v>-0.31103979460847242</v>
      </c>
      <c r="Q14" s="3">
        <f t="shared" si="10"/>
        <v>8</v>
      </c>
      <c r="R14" s="222">
        <f t="shared" si="3"/>
        <v>44561</v>
      </c>
      <c r="S14" s="225">
        <v>6.35</v>
      </c>
      <c r="T14" s="29">
        <f t="shared" si="11"/>
        <v>1.9261637239165186E-2</v>
      </c>
      <c r="U14" s="10">
        <v>6.41</v>
      </c>
      <c r="V14" s="29">
        <f t="shared" si="12"/>
        <v>2.070063694267521E-2</v>
      </c>
    </row>
    <row r="15" spans="2:22" x14ac:dyDescent="0.2">
      <c r="B15" s="3">
        <f t="shared" si="4"/>
        <v>9</v>
      </c>
      <c r="C15" s="222">
        <f t="shared" si="0"/>
        <v>44926</v>
      </c>
      <c r="D15" s="7">
        <v>60530</v>
      </c>
      <c r="E15" s="29">
        <f t="shared" si="5"/>
        <v>5.5430594061132377E-2</v>
      </c>
      <c r="G15" s="3">
        <f t="shared" si="6"/>
        <v>9</v>
      </c>
      <c r="H15" s="222">
        <f t="shared" si="1"/>
        <v>44926</v>
      </c>
      <c r="I15" s="7">
        <v>7512</v>
      </c>
      <c r="J15" s="29">
        <f t="shared" si="7"/>
        <v>0.20134335518950897</v>
      </c>
      <c r="L15" s="3">
        <f t="shared" si="8"/>
        <v>9</v>
      </c>
      <c r="M15" s="222">
        <f t="shared" si="2"/>
        <v>44926</v>
      </c>
      <c r="N15" s="7">
        <v>9089</v>
      </c>
      <c r="O15" s="29">
        <f t="shared" si="9"/>
        <v>-0.15325135084777342</v>
      </c>
      <c r="Q15" s="3">
        <f t="shared" si="10"/>
        <v>9</v>
      </c>
      <c r="R15" s="222">
        <f t="shared" si="3"/>
        <v>44926</v>
      </c>
      <c r="S15" s="225">
        <v>1.8</v>
      </c>
      <c r="T15" s="29">
        <f t="shared" si="11"/>
        <v>-0.7165354330708662</v>
      </c>
      <c r="U15" s="10">
        <v>1.82</v>
      </c>
      <c r="V15" s="29">
        <f t="shared" si="12"/>
        <v>-0.7160686427457098</v>
      </c>
    </row>
    <row r="16" spans="2:22" x14ac:dyDescent="0.2">
      <c r="B16" s="3">
        <f t="shared" si="4"/>
        <v>10</v>
      </c>
      <c r="C16" s="222">
        <f t="shared" si="0"/>
        <v>45291</v>
      </c>
      <c r="D16" s="7">
        <v>61860</v>
      </c>
      <c r="E16" s="29">
        <f t="shared" si="5"/>
        <v>2.197257558235588E-2</v>
      </c>
      <c r="G16" s="3">
        <f t="shared" si="6"/>
        <v>10</v>
      </c>
      <c r="H16" s="222">
        <f t="shared" si="1"/>
        <v>45291</v>
      </c>
      <c r="I16" s="7">
        <v>8522</v>
      </c>
      <c r="J16" s="29">
        <f t="shared" si="7"/>
        <v>0.13445154419595307</v>
      </c>
      <c r="L16" s="3">
        <f t="shared" si="8"/>
        <v>10</v>
      </c>
      <c r="M16" s="222">
        <f t="shared" si="2"/>
        <v>45291</v>
      </c>
      <c r="N16" s="7">
        <v>12685</v>
      </c>
      <c r="O16" s="29">
        <f t="shared" si="9"/>
        <v>0.39564308504786005</v>
      </c>
      <c r="Q16" s="3">
        <f t="shared" si="10"/>
        <v>10</v>
      </c>
      <c r="R16" s="222">
        <f t="shared" si="3"/>
        <v>45291</v>
      </c>
      <c r="S16" s="225">
        <v>8.14</v>
      </c>
      <c r="T16" s="29">
        <f t="shared" si="11"/>
        <v>3.5222222222222221</v>
      </c>
      <c r="U16" s="10">
        <v>8.23</v>
      </c>
      <c r="V16" s="29">
        <f t="shared" si="12"/>
        <v>3.5219780219780219</v>
      </c>
    </row>
    <row r="17" spans="2:22" x14ac:dyDescent="0.2">
      <c r="B17" s="223">
        <f t="shared" si="4"/>
        <v>11</v>
      </c>
      <c r="C17" s="224">
        <f>EDATE(C16,12)</f>
        <v>45657</v>
      </c>
      <c r="D17" s="220">
        <f>FORECAST(B17,$D$7:$D$16,$B$7:$B$16)</f>
        <v>49465.799999999996</v>
      </c>
      <c r="E17" s="221">
        <f t="shared" si="5"/>
        <v>-0.20035887487875859</v>
      </c>
      <c r="G17" s="223">
        <f t="shared" si="6"/>
        <v>11</v>
      </c>
      <c r="H17" s="224">
        <f>EDATE(H16,12)</f>
        <v>45657</v>
      </c>
      <c r="I17" s="220">
        <f>FORECAST(G17,$I$7:$I$16,$G$7:$G$16)</f>
        <v>3767.5333333333328</v>
      </c>
      <c r="J17" s="221">
        <f t="shared" si="7"/>
        <v>-0.55790503011812564</v>
      </c>
      <c r="L17" s="223">
        <f t="shared" si="8"/>
        <v>11</v>
      </c>
      <c r="M17" s="224">
        <f t="shared" si="2"/>
        <v>45657</v>
      </c>
      <c r="N17" s="220">
        <f>FORECAST(L17,$N$7:$N$16,$L$7:$L$16)</f>
        <v>11186.2</v>
      </c>
      <c r="O17" s="221">
        <f t="shared" si="9"/>
        <v>-0.11815530153724862</v>
      </c>
      <c r="Q17" s="223">
        <f t="shared" si="10"/>
        <v>11</v>
      </c>
      <c r="R17" s="224">
        <f>EDATE(R16,12)</f>
        <v>45657</v>
      </c>
      <c r="S17" s="226">
        <f>FORECAST(Q17,$S$7:$S$16,$Q$7:$Q$16)</f>
        <v>3.8433333333333319</v>
      </c>
      <c r="T17" s="221">
        <f t="shared" si="11"/>
        <v>-0.52784602784602808</v>
      </c>
      <c r="U17" s="227">
        <f>FORECAST(Q17,$U$7:$U$16,$Q$7:$Q$16)</f>
        <v>3.8993333333333329</v>
      </c>
      <c r="V17" s="221">
        <f t="shared" si="12"/>
        <v>-0.52620494127176998</v>
      </c>
    </row>
    <row r="18" spans="2:22" x14ac:dyDescent="0.2">
      <c r="B18" s="223">
        <f t="shared" si="4"/>
        <v>12</v>
      </c>
      <c r="C18" s="224">
        <f>EDATE(C17,12)</f>
        <v>46022</v>
      </c>
      <c r="D18" s="220">
        <f>FORECAST(B18,$D$7:$D$16,$B$7:$B$16)</f>
        <v>45626.509090909087</v>
      </c>
      <c r="E18" s="221">
        <f t="shared" si="5"/>
        <v>-7.7615057455674652E-2</v>
      </c>
      <c r="G18" s="223">
        <f t="shared" si="6"/>
        <v>12</v>
      </c>
      <c r="H18" s="224">
        <f>EDATE(H17,12)</f>
        <v>46022</v>
      </c>
      <c r="I18" s="220">
        <f>FORECAST(G18,$I$7:$I$16,$G$7:$G$16)</f>
        <v>2601.3575757575745</v>
      </c>
      <c r="J18" s="221">
        <f t="shared" si="7"/>
        <v>-0.30953296345330061</v>
      </c>
      <c r="L18" s="223">
        <f t="shared" si="8"/>
        <v>12</v>
      </c>
      <c r="M18" s="224">
        <f t="shared" si="2"/>
        <v>46022</v>
      </c>
      <c r="N18" s="220">
        <f>FORECAST(L18,$N$7:$N$16,$L$7:$L$16)</f>
        <v>10924.636363636364</v>
      </c>
      <c r="O18" s="221">
        <f t="shared" si="9"/>
        <v>-2.3382706939231945E-2</v>
      </c>
      <c r="Q18" s="223">
        <f t="shared" si="10"/>
        <v>12</v>
      </c>
      <c r="R18" s="224">
        <f>EDATE(R17,12)</f>
        <v>46022</v>
      </c>
      <c r="S18" s="226">
        <f>FORECAST(Q18,$S$7:$S$16,$Q$7:$Q$16)</f>
        <v>2.9704848484848476</v>
      </c>
      <c r="T18" s="221">
        <f t="shared" si="11"/>
        <v>-0.22710715130489623</v>
      </c>
      <c r="U18" s="227">
        <f>FORECAST(Q18,$U$7:$U$16,$Q$7:$Q$16)</f>
        <v>3.0266666666666655</v>
      </c>
      <c r="V18" s="221">
        <f t="shared" si="12"/>
        <v>-0.2237989399897421</v>
      </c>
    </row>
    <row r="19" spans="2:22" x14ac:dyDescent="0.2">
      <c r="B19" s="223">
        <f t="shared" si="4"/>
        <v>13</v>
      </c>
      <c r="C19" s="224">
        <f>EDATE(C18,12)</f>
        <v>46387</v>
      </c>
      <c r="D19" s="220">
        <f>FORECAST(B19,$D$7:$D$16,$B$7:$B$16)</f>
        <v>41787.218181818178</v>
      </c>
      <c r="E19" s="221">
        <f t="shared" si="5"/>
        <v>-8.414605863098723E-2</v>
      </c>
      <c r="G19" s="223">
        <f t="shared" si="6"/>
        <v>13</v>
      </c>
      <c r="H19" s="224">
        <f>EDATE(H18,12)</f>
        <v>46387</v>
      </c>
      <c r="I19" s="220">
        <f>FORECAST(G19,$I$7:$I$16,$G$7:$G$16)</f>
        <v>1435.181818181818</v>
      </c>
      <c r="J19" s="221">
        <f t="shared" si="7"/>
        <v>-0.44829506271783481</v>
      </c>
      <c r="L19" s="223">
        <f t="shared" si="8"/>
        <v>13</v>
      </c>
      <c r="M19" s="224">
        <f t="shared" si="2"/>
        <v>46387</v>
      </c>
      <c r="N19" s="220">
        <f>FORECAST(L19,$N$7:$N$16,$L$7:$L$16)</f>
        <v>10663.072727272727</v>
      </c>
      <c r="O19" s="221">
        <f t="shared" si="9"/>
        <v>-2.3942548535004327E-2</v>
      </c>
      <c r="Q19" s="223">
        <f t="shared" si="10"/>
        <v>13</v>
      </c>
      <c r="R19" s="224">
        <f>EDATE(R18,12)</f>
        <v>46387</v>
      </c>
      <c r="S19" s="226">
        <f>FORECAST(Q19,$S$7:$S$16,$Q$7:$Q$16)</f>
        <v>2.0976363636363615</v>
      </c>
      <c r="T19" s="221">
        <f t="shared" si="11"/>
        <v>-0.29384040968722636</v>
      </c>
      <c r="U19" s="227">
        <f>FORECAST(Q19,$U$7:$U$16,$Q$7:$Q$16)</f>
        <v>2.1539999999999999</v>
      </c>
      <c r="V19" s="221">
        <f t="shared" si="12"/>
        <v>-0.28832599118942703</v>
      </c>
    </row>
    <row r="20" spans="2:22" x14ac:dyDescent="0.2">
      <c r="B20" s="223">
        <f t="shared" si="4"/>
        <v>14</v>
      </c>
      <c r="C20" s="224">
        <f>EDATE(C19,12)</f>
        <v>46752</v>
      </c>
      <c r="D20" s="220">
        <f>FORECAST(B20,$D$7:$D$16,$B$7:$B$16)</f>
        <v>37947.927272727269</v>
      </c>
      <c r="E20" s="221">
        <f t="shared" si="5"/>
        <v>-9.1877159479388459E-2</v>
      </c>
      <c r="G20" s="223">
        <f t="shared" si="6"/>
        <v>14</v>
      </c>
      <c r="H20" s="224">
        <f>EDATE(H19,12)</f>
        <v>46752</v>
      </c>
      <c r="I20" s="220">
        <f>FORECAST(G20,$I$7:$I$16,$G$7:$G$16)</f>
        <v>269.00606060605969</v>
      </c>
      <c r="J20" s="221">
        <f t="shared" si="7"/>
        <v>-0.81256307932687299</v>
      </c>
      <c r="L20" s="223">
        <f t="shared" si="8"/>
        <v>14</v>
      </c>
      <c r="M20" s="224">
        <f t="shared" si="2"/>
        <v>46752</v>
      </c>
      <c r="N20" s="220">
        <f>FORECAST(L20,$N$7:$N$16,$L$7:$L$16)</f>
        <v>10401.50909090909</v>
      </c>
      <c r="O20" s="221">
        <f t="shared" si="9"/>
        <v>-2.4529855798004707E-2</v>
      </c>
      <c r="Q20" s="223">
        <f t="shared" si="10"/>
        <v>14</v>
      </c>
      <c r="R20" s="224">
        <f>EDATE(R19,12)</f>
        <v>46752</v>
      </c>
      <c r="S20" s="226">
        <f>FORECAST(Q20,$S$7:$S$16,$Q$7:$Q$16)</f>
        <v>1.2247878787878772</v>
      </c>
      <c r="T20" s="221">
        <f t="shared" si="11"/>
        <v>-0.41611048510589133</v>
      </c>
      <c r="U20" s="227">
        <f>FORECAST(Q20,$U$7:$U$16,$Q$7:$Q$16)</f>
        <v>1.2813333333333325</v>
      </c>
      <c r="V20" s="221">
        <f t="shared" si="12"/>
        <v>-0.40513772825750571</v>
      </c>
    </row>
    <row r="21" spans="2:22" x14ac:dyDescent="0.2">
      <c r="B21" s="223">
        <f t="shared" si="4"/>
        <v>15</v>
      </c>
      <c r="C21" s="224">
        <f>EDATE(C20,12)</f>
        <v>47118</v>
      </c>
      <c r="D21" s="220">
        <f>FORECAST(B21,$D$7:$D$16,$B$7:$B$16)</f>
        <v>34108.63636363636</v>
      </c>
      <c r="E21" s="221">
        <f t="shared" si="5"/>
        <v>-0.10117261165539759</v>
      </c>
      <c r="G21" s="223">
        <f t="shared" si="6"/>
        <v>15</v>
      </c>
      <c r="H21" s="224">
        <f>EDATE(H20,12)</f>
        <v>47118</v>
      </c>
      <c r="I21" s="220">
        <f>FORECAST(G21,$I$7:$I$16,$G$7:$G$16)</f>
        <v>-897.16969696969682</v>
      </c>
      <c r="J21" s="221">
        <f t="shared" si="7"/>
        <v>-4.3351281935745618</v>
      </c>
      <c r="L21" s="223">
        <f t="shared" si="8"/>
        <v>15</v>
      </c>
      <c r="M21" s="224">
        <f t="shared" si="2"/>
        <v>47118</v>
      </c>
      <c r="N21" s="220">
        <f>FORECAST(L21,$N$7:$N$16,$L$7:$L$16)</f>
        <v>10139.945454545454</v>
      </c>
      <c r="O21" s="221">
        <f t="shared" si="9"/>
        <v>-2.5146700740976469E-2</v>
      </c>
      <c r="Q21" s="223">
        <f t="shared" si="10"/>
        <v>15</v>
      </c>
      <c r="R21" s="224">
        <f>EDATE(R20,12)</f>
        <v>47118</v>
      </c>
      <c r="S21" s="226">
        <f>FORECAST(Q21,$S$7:$S$16,$Q$7:$Q$16)</f>
        <v>0.35193939393939111</v>
      </c>
      <c r="T21" s="221">
        <f t="shared" si="11"/>
        <v>-0.71265277846504227</v>
      </c>
      <c r="U21" s="227">
        <f>FORECAST(Q21,$U$7:$U$16,$Q$7:$Q$16)</f>
        <v>0.40866666666666696</v>
      </c>
      <c r="V21" s="221">
        <f t="shared" si="12"/>
        <v>-0.68106139438085278</v>
      </c>
    </row>
  </sheetData>
  <mergeCells count="5">
    <mergeCell ref="B5:E5"/>
    <mergeCell ref="G5:J5"/>
    <mergeCell ref="Q5:V5"/>
    <mergeCell ref="L5:O5"/>
    <mergeCell ref="B2:V2"/>
  </mergeCells>
  <pageMargins left="0.7" right="0.7" top="0.75" bottom="0.75" header="0.3" footer="0.3"/>
  <pageSetup paperSize="9" orientation="portrait" r:id="rId1"/>
  <ignoredErrors>
    <ignoredError sqref="U17:U21" formula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23"/>
  <sheetViews>
    <sheetView showGridLines="0" zoomScaleNormal="100" workbookViewId="0">
      <pane ySplit="6" topLeftCell="A7" activePane="bottomLeft" state="frozen"/>
      <selection pane="bottomLeft"/>
    </sheetView>
  </sheetViews>
  <sheetFormatPr defaultRowHeight="15" outlineLevelRow="1" x14ac:dyDescent="0.2"/>
  <cols>
    <col min="1" max="1" width="3" style="3" customWidth="1"/>
    <col min="2" max="2" width="63.6640625" style="3" customWidth="1"/>
    <col min="3" max="12" width="14.6640625" style="3" customWidth="1"/>
    <col min="13" max="13" width="3.33203125" style="10" customWidth="1"/>
    <col min="14" max="16" width="17.1640625" style="10" customWidth="1"/>
    <col min="17" max="17" width="17.1640625" style="3" customWidth="1"/>
    <col min="18" max="16384" width="9.33203125" style="3"/>
  </cols>
  <sheetData>
    <row r="2" spans="1:12" ht="18.75" x14ac:dyDescent="0.2">
      <c r="B2" s="337" t="s">
        <v>494</v>
      </c>
      <c r="C2" s="337"/>
      <c r="D2" s="337"/>
      <c r="E2" s="337"/>
      <c r="F2" s="337"/>
      <c r="G2" s="337"/>
      <c r="H2" s="337"/>
      <c r="I2" s="337"/>
      <c r="J2" s="337"/>
      <c r="K2" s="337"/>
      <c r="L2" s="337"/>
    </row>
    <row r="4" spans="1:12" x14ac:dyDescent="0.2">
      <c r="B4" s="139"/>
      <c r="C4" s="340" t="s">
        <v>132</v>
      </c>
      <c r="D4" s="340"/>
      <c r="E4" s="340"/>
      <c r="F4" s="340"/>
      <c r="G4" s="340"/>
      <c r="H4" s="340" t="s">
        <v>133</v>
      </c>
      <c r="I4" s="340"/>
      <c r="J4" s="340"/>
      <c r="K4" s="340"/>
      <c r="L4" s="340"/>
    </row>
    <row r="5" spans="1:12" x14ac:dyDescent="0.2">
      <c r="B5" s="166" t="s">
        <v>472</v>
      </c>
      <c r="C5" s="170">
        <v>43830</v>
      </c>
      <c r="D5" s="170">
        <f t="shared" ref="D5:L5" si="0">EDATE(C5,12)</f>
        <v>44196</v>
      </c>
      <c r="E5" s="170">
        <f t="shared" si="0"/>
        <v>44561</v>
      </c>
      <c r="F5" s="170">
        <f t="shared" si="0"/>
        <v>44926</v>
      </c>
      <c r="G5" s="170">
        <f t="shared" si="0"/>
        <v>45291</v>
      </c>
      <c r="H5" s="171">
        <f t="shared" si="0"/>
        <v>45657</v>
      </c>
      <c r="I5" s="171">
        <f t="shared" si="0"/>
        <v>46022</v>
      </c>
      <c r="J5" s="171">
        <f t="shared" si="0"/>
        <v>46387</v>
      </c>
      <c r="K5" s="171">
        <f t="shared" si="0"/>
        <v>46752</v>
      </c>
      <c r="L5" s="171">
        <f t="shared" si="0"/>
        <v>47118</v>
      </c>
    </row>
    <row r="6" spans="1:12" x14ac:dyDescent="0.2">
      <c r="B6" s="172"/>
      <c r="C6" s="328">
        <v>1</v>
      </c>
      <c r="D6" s="328">
        <v>2</v>
      </c>
      <c r="E6" s="328">
        <v>3</v>
      </c>
      <c r="F6" s="328">
        <v>4</v>
      </c>
      <c r="G6" s="328">
        <v>5</v>
      </c>
      <c r="H6" s="329">
        <v>6</v>
      </c>
      <c r="I6" s="329">
        <v>7</v>
      </c>
      <c r="J6" s="329">
        <v>8</v>
      </c>
      <c r="K6" s="329">
        <v>9</v>
      </c>
      <c r="L6" s="329">
        <v>10</v>
      </c>
    </row>
    <row r="7" spans="1:12" x14ac:dyDescent="0.2">
      <c r="B7" s="172"/>
      <c r="C7" s="173"/>
      <c r="D7" s="173"/>
      <c r="E7" s="173"/>
      <c r="F7" s="173"/>
      <c r="G7" s="173"/>
      <c r="H7" s="174"/>
      <c r="I7" s="174"/>
      <c r="J7" s="174"/>
      <c r="K7" s="174"/>
      <c r="L7" s="174"/>
    </row>
    <row r="8" spans="1:12" x14ac:dyDescent="0.2">
      <c r="A8" s="331" t="s">
        <v>182</v>
      </c>
      <c r="B8" s="175" t="s">
        <v>134</v>
      </c>
      <c r="C8" s="176"/>
      <c r="D8" s="176"/>
      <c r="E8" s="176"/>
      <c r="F8" s="176"/>
      <c r="G8" s="176"/>
      <c r="H8" s="177"/>
      <c r="I8" s="177"/>
      <c r="J8" s="177"/>
      <c r="K8" s="177"/>
      <c r="L8" s="177"/>
    </row>
    <row r="9" spans="1:12" outlineLevel="1" x14ac:dyDescent="0.2">
      <c r="B9" s="21" t="s">
        <v>154</v>
      </c>
      <c r="C9" s="213">
        <v>57714</v>
      </c>
      <c r="D9" s="213">
        <v>55179</v>
      </c>
      <c r="E9" s="213">
        <v>57351</v>
      </c>
      <c r="F9" s="213">
        <v>60530</v>
      </c>
      <c r="G9" s="213">
        <v>61860</v>
      </c>
      <c r="H9" s="181">
        <f>FORECAST(H$5,$C9:$G9,$C$5:$G$5)</f>
        <v>62620.365599348806</v>
      </c>
      <c r="I9" s="181">
        <f>FORECAST(I$5,$C9:$G9,$C$5:$G$5)</f>
        <v>63983.393736333222</v>
      </c>
      <c r="J9" s="181">
        <f>FORECAST(J$5,$C9:$G9,$C$5:$G$5)</f>
        <v>65346.421873317639</v>
      </c>
      <c r="K9" s="181">
        <f>FORECAST(K$5,$C9:$G9,$C$5:$G$5)</f>
        <v>66709.450010302055</v>
      </c>
      <c r="L9" s="181">
        <f>FORECAST(L$5,$C9:$G9,$C$5:$G$5)</f>
        <v>68076.212470949467</v>
      </c>
    </row>
    <row r="10" spans="1:12" outlineLevel="1" x14ac:dyDescent="0.2">
      <c r="B10" s="14" t="s">
        <v>156</v>
      </c>
      <c r="C10" s="212">
        <v>26180</v>
      </c>
      <c r="D10" s="212">
        <v>24314</v>
      </c>
      <c r="E10" s="212">
        <v>25865</v>
      </c>
      <c r="F10" s="212">
        <v>27842</v>
      </c>
      <c r="G10" s="212">
        <v>27560</v>
      </c>
      <c r="H10" s="179">
        <f>H9*H30</f>
        <v>28247.335595943518</v>
      </c>
      <c r="I10" s="179">
        <f>I9*I30</f>
        <v>28882.213770423488</v>
      </c>
      <c r="J10" s="179">
        <f>J9*J30</f>
        <v>29517.945407697782</v>
      </c>
      <c r="K10" s="179">
        <f>K9*K30</f>
        <v>30154.530507766383</v>
      </c>
      <c r="L10" s="179">
        <f>L9*L30</f>
        <v>30793.716649981066</v>
      </c>
    </row>
    <row r="11" spans="1:12" outlineLevel="1" x14ac:dyDescent="0.2">
      <c r="B11" s="14"/>
      <c r="C11" s="212"/>
      <c r="D11" s="212"/>
      <c r="E11" s="212"/>
      <c r="F11" s="212"/>
      <c r="G11" s="212"/>
      <c r="H11" s="179"/>
      <c r="I11" s="179"/>
      <c r="J11" s="179"/>
      <c r="K11" s="179"/>
      <c r="L11" s="179"/>
    </row>
    <row r="12" spans="1:12" outlineLevel="1" x14ac:dyDescent="0.2">
      <c r="B12" s="214" t="s">
        <v>157</v>
      </c>
      <c r="C12" s="215">
        <f t="shared" ref="C12:L12" si="1">C9-C10</f>
        <v>31534</v>
      </c>
      <c r="D12" s="215">
        <f t="shared" si="1"/>
        <v>30865</v>
      </c>
      <c r="E12" s="215">
        <f t="shared" si="1"/>
        <v>31486</v>
      </c>
      <c r="F12" s="215">
        <f t="shared" si="1"/>
        <v>32688</v>
      </c>
      <c r="G12" s="215">
        <f t="shared" si="1"/>
        <v>34300</v>
      </c>
      <c r="H12" s="215">
        <f t="shared" si="1"/>
        <v>34373.030003405293</v>
      </c>
      <c r="I12" s="215">
        <f t="shared" si="1"/>
        <v>35101.179965909731</v>
      </c>
      <c r="J12" s="215">
        <f t="shared" si="1"/>
        <v>35828.476465619853</v>
      </c>
      <c r="K12" s="215">
        <f t="shared" si="1"/>
        <v>36554.919502535675</v>
      </c>
      <c r="L12" s="215">
        <f t="shared" si="1"/>
        <v>37282.495820968397</v>
      </c>
    </row>
    <row r="13" spans="1:12" outlineLevel="1" x14ac:dyDescent="0.2">
      <c r="B13" s="14" t="s">
        <v>159</v>
      </c>
      <c r="C13" s="212">
        <v>24634</v>
      </c>
      <c r="D13" s="212">
        <v>26823</v>
      </c>
      <c r="E13" s="212">
        <v>25233</v>
      </c>
      <c r="F13" s="212">
        <v>25176</v>
      </c>
      <c r="G13" s="212">
        <v>25778</v>
      </c>
      <c r="H13" s="53">
        <f>H9*H32</f>
        <v>25674.108604253219</v>
      </c>
      <c r="I13" s="53">
        <f>I9*I32</f>
        <v>25655.283235061273</v>
      </c>
      <c r="J13" s="53">
        <f>J9*J32</f>
        <v>25611.846195837625</v>
      </c>
      <c r="K13" s="53">
        <f>K9*K32</f>
        <v>25543.797486582273</v>
      </c>
      <c r="L13" s="53">
        <f>L9*L32</f>
        <v>25450.849436257089</v>
      </c>
    </row>
    <row r="14" spans="1:12" outlineLevel="1" x14ac:dyDescent="0.2">
      <c r="B14" s="14"/>
      <c r="C14" s="212"/>
      <c r="D14" s="212"/>
      <c r="E14" s="212"/>
      <c r="F14" s="212"/>
      <c r="G14" s="212"/>
      <c r="H14" s="53"/>
      <c r="I14" s="53"/>
      <c r="J14" s="53"/>
      <c r="K14" s="53"/>
      <c r="L14" s="53"/>
    </row>
    <row r="15" spans="1:12" outlineLevel="1" x14ac:dyDescent="0.2">
      <c r="B15" s="214" t="s">
        <v>126</v>
      </c>
      <c r="C15" s="215">
        <f t="shared" ref="C15:L15" si="2">C12-C13</f>
        <v>6900</v>
      </c>
      <c r="D15" s="215">
        <f t="shared" si="2"/>
        <v>4042</v>
      </c>
      <c r="E15" s="215">
        <f t="shared" si="2"/>
        <v>6253</v>
      </c>
      <c r="F15" s="215">
        <f t="shared" si="2"/>
        <v>7512</v>
      </c>
      <c r="G15" s="215">
        <f t="shared" si="2"/>
        <v>8522</v>
      </c>
      <c r="H15" s="215">
        <f t="shared" si="2"/>
        <v>8698.9213991520737</v>
      </c>
      <c r="I15" s="215">
        <f t="shared" si="2"/>
        <v>9445.8967308484571</v>
      </c>
      <c r="J15" s="215">
        <f t="shared" si="2"/>
        <v>10216.630269782228</v>
      </c>
      <c r="K15" s="215">
        <f t="shared" si="2"/>
        <v>11011.122015953402</v>
      </c>
      <c r="L15" s="215">
        <f t="shared" si="2"/>
        <v>11831.646384711308</v>
      </c>
    </row>
    <row r="16" spans="1:12" outlineLevel="1" x14ac:dyDescent="0.2">
      <c r="B16" s="19" t="s">
        <v>164</v>
      </c>
      <c r="C16" s="212">
        <v>639</v>
      </c>
      <c r="D16" s="212">
        <v>620</v>
      </c>
      <c r="E16" s="212">
        <v>612</v>
      </c>
      <c r="F16" s="212">
        <v>663</v>
      </c>
      <c r="G16" s="212">
        <v>860</v>
      </c>
      <c r="H16" s="53">
        <f>H9*H34</f>
        <v>825.38605684225922</v>
      </c>
      <c r="I16" s="53">
        <f>I9*I34</f>
        <v>877.73395411131469</v>
      </c>
      <c r="J16" s="53">
        <f>J9*J34</f>
        <v>931.54672453294688</v>
      </c>
      <c r="K16" s="53">
        <f>K9*K34</f>
        <v>986.82436810715785</v>
      </c>
      <c r="L16" s="53">
        <f>L9*L34</f>
        <v>1043.724355957175</v>
      </c>
    </row>
    <row r="17" spans="2:12" outlineLevel="1" x14ac:dyDescent="0.2">
      <c r="B17" s="14" t="s">
        <v>165</v>
      </c>
      <c r="C17" s="212">
        <v>1012</v>
      </c>
      <c r="D17" s="212">
        <v>-802</v>
      </c>
      <c r="E17" s="212">
        <v>-873</v>
      </c>
      <c r="F17" s="212">
        <v>-5803</v>
      </c>
      <c r="G17" s="212">
        <v>914</v>
      </c>
      <c r="H17" s="179">
        <f>H9*H35</f>
        <v>-2802.2150559099082</v>
      </c>
      <c r="I17" s="179">
        <f>I9*I35</f>
        <v>-3418.9572708308924</v>
      </c>
      <c r="J17" s="179">
        <f>J9*J35</f>
        <v>-4059.3774973914565</v>
      </c>
      <c r="K17" s="179">
        <f>K9*K35</f>
        <v>-4723.4757355916017</v>
      </c>
      <c r="L17" s="179">
        <f>L9*L35</f>
        <v>-5413.1688284211714</v>
      </c>
    </row>
    <row r="18" spans="2:12" outlineLevel="1" x14ac:dyDescent="0.2">
      <c r="B18" s="14" t="s">
        <v>162</v>
      </c>
      <c r="C18" s="212">
        <v>1344</v>
      </c>
      <c r="D18" s="212">
        <v>1288</v>
      </c>
      <c r="E18" s="212">
        <v>1155</v>
      </c>
      <c r="F18" s="212">
        <v>1216</v>
      </c>
      <c r="G18" s="212">
        <v>1607</v>
      </c>
      <c r="H18" s="179">
        <f>H9*H36</f>
        <v>1453.1140583787226</v>
      </c>
      <c r="I18" s="179">
        <f>I9*I36</f>
        <v>1498.3349074461992</v>
      </c>
      <c r="J18" s="179">
        <f>J9*J36</f>
        <v>1544.1348357911738</v>
      </c>
      <c r="K18" s="179">
        <f>K9*K36</f>
        <v>1590.5138434136461</v>
      </c>
      <c r="L18" s="179">
        <f>L9*L36</f>
        <v>1637.6013780390911</v>
      </c>
    </row>
    <row r="19" spans="2:12" outlineLevel="1" x14ac:dyDescent="0.2">
      <c r="B19" s="14"/>
      <c r="C19" s="212"/>
      <c r="D19" s="212"/>
      <c r="E19" s="212"/>
      <c r="F19" s="212"/>
      <c r="G19" s="212"/>
      <c r="H19" s="179"/>
      <c r="I19" s="179"/>
      <c r="J19" s="179"/>
      <c r="K19" s="179"/>
      <c r="L19" s="179"/>
    </row>
    <row r="20" spans="2:12" outlineLevel="1" x14ac:dyDescent="0.2">
      <c r="B20" s="214" t="s">
        <v>168</v>
      </c>
      <c r="C20" s="215">
        <f t="shared" ref="C20:L20" si="3">C15+C16+C17-C18</f>
        <v>7207</v>
      </c>
      <c r="D20" s="215">
        <f t="shared" si="3"/>
        <v>2572</v>
      </c>
      <c r="E20" s="215">
        <f t="shared" si="3"/>
        <v>4837</v>
      </c>
      <c r="F20" s="215">
        <f t="shared" si="3"/>
        <v>1156</v>
      </c>
      <c r="G20" s="215">
        <f t="shared" si="3"/>
        <v>8689</v>
      </c>
      <c r="H20" s="215">
        <f t="shared" si="3"/>
        <v>5268.9783417057015</v>
      </c>
      <c r="I20" s="215">
        <f t="shared" si="3"/>
        <v>5406.3385066826795</v>
      </c>
      <c r="J20" s="215">
        <f t="shared" si="3"/>
        <v>5544.664661132545</v>
      </c>
      <c r="K20" s="215">
        <f t="shared" si="3"/>
        <v>5683.9568050553125</v>
      </c>
      <c r="L20" s="215">
        <f t="shared" si="3"/>
        <v>5824.6005342082199</v>
      </c>
    </row>
    <row r="21" spans="2:12" outlineLevel="1" x14ac:dyDescent="0.2">
      <c r="B21" s="14" t="s">
        <v>169</v>
      </c>
      <c r="C21" s="212">
        <v>60</v>
      </c>
      <c r="D21" s="212">
        <v>-1360</v>
      </c>
      <c r="E21" s="212">
        <v>124</v>
      </c>
      <c r="F21" s="212">
        <v>-626</v>
      </c>
      <c r="G21" s="212">
        <v>1176</v>
      </c>
      <c r="H21" s="53">
        <f>H20*H38</f>
        <v>-568.87695255393214</v>
      </c>
      <c r="I21" s="53">
        <f>I20*I38</f>
        <v>-453.68205437174174</v>
      </c>
      <c r="J21" s="53">
        <f>J20*J38</f>
        <v>-331.93781739359247</v>
      </c>
      <c r="K21" s="53">
        <f>K20*K38</f>
        <v>-203.57454394999871</v>
      </c>
      <c r="L21" s="53">
        <f>L20*L38</f>
        <v>-68.143279205951401</v>
      </c>
    </row>
    <row r="22" spans="2:12" outlineLevel="1" x14ac:dyDescent="0.2">
      <c r="B22" s="14"/>
      <c r="C22" s="212"/>
      <c r="D22" s="212"/>
      <c r="E22" s="212"/>
      <c r="F22" s="212"/>
      <c r="G22" s="212"/>
      <c r="H22" s="53"/>
      <c r="I22" s="53"/>
      <c r="J22" s="53"/>
      <c r="K22" s="53"/>
      <c r="L22" s="53"/>
    </row>
    <row r="23" spans="2:12" outlineLevel="1" x14ac:dyDescent="0.2">
      <c r="B23" s="214" t="s">
        <v>173</v>
      </c>
      <c r="C23" s="215">
        <f t="shared" ref="C23:L23" si="4">C20-C21</f>
        <v>7147</v>
      </c>
      <c r="D23" s="215">
        <f t="shared" si="4"/>
        <v>3932</v>
      </c>
      <c r="E23" s="215">
        <f t="shared" si="4"/>
        <v>4713</v>
      </c>
      <c r="F23" s="215">
        <f t="shared" si="4"/>
        <v>1782</v>
      </c>
      <c r="G23" s="215">
        <f t="shared" si="4"/>
        <v>7513</v>
      </c>
      <c r="H23" s="215">
        <f t="shared" si="4"/>
        <v>5837.8552942596334</v>
      </c>
      <c r="I23" s="215">
        <f t="shared" si="4"/>
        <v>5860.0205610544217</v>
      </c>
      <c r="J23" s="215">
        <f t="shared" si="4"/>
        <v>5876.6024785261379</v>
      </c>
      <c r="K23" s="215">
        <f t="shared" si="4"/>
        <v>5887.5313490053113</v>
      </c>
      <c r="L23" s="215">
        <f t="shared" si="4"/>
        <v>5892.7438134141712</v>
      </c>
    </row>
    <row r="24" spans="2:12" outlineLevel="1" x14ac:dyDescent="0.2">
      <c r="B24" s="14" t="s">
        <v>171</v>
      </c>
      <c r="C24" s="212">
        <v>2285</v>
      </c>
      <c r="D24" s="212">
        <v>1658</v>
      </c>
      <c r="E24" s="212">
        <v>1030</v>
      </c>
      <c r="F24" s="212">
        <v>-143</v>
      </c>
      <c r="G24" s="212">
        <v>-12</v>
      </c>
      <c r="H24" s="53">
        <f>-H9*H40</f>
        <v>-1065.0794166423814</v>
      </c>
      <c r="I24" s="53">
        <f>-I9*I40</f>
        <v>-1088.26250091715</v>
      </c>
      <c r="J24" s="53">
        <f>-J9*J40</f>
        <v>-1111.4455851919183</v>
      </c>
      <c r="K24" s="53">
        <f>-K9*K40</f>
        <v>-1134.6286694666867</v>
      </c>
      <c r="L24" s="53">
        <f>-L9*L40</f>
        <v>-1157.8752690408385</v>
      </c>
    </row>
    <row r="25" spans="2:12" outlineLevel="1" x14ac:dyDescent="0.2">
      <c r="B25" s="14"/>
      <c r="C25" s="212"/>
      <c r="D25" s="212"/>
      <c r="E25" s="212"/>
      <c r="F25" s="212"/>
      <c r="G25" s="212"/>
      <c r="H25" s="181"/>
      <c r="I25" s="181"/>
      <c r="J25" s="181"/>
      <c r="K25" s="181"/>
      <c r="L25" s="181"/>
    </row>
    <row r="26" spans="2:12" ht="15.75" outlineLevel="1" thickBot="1" x14ac:dyDescent="0.25">
      <c r="B26" s="216" t="s">
        <v>131</v>
      </c>
      <c r="C26" s="217">
        <f t="shared" ref="C26:L26" si="5">C23+C24</f>
        <v>9432</v>
      </c>
      <c r="D26" s="217">
        <f t="shared" si="5"/>
        <v>5590</v>
      </c>
      <c r="E26" s="217">
        <f t="shared" si="5"/>
        <v>5743</v>
      </c>
      <c r="F26" s="217">
        <f t="shared" si="5"/>
        <v>1639</v>
      </c>
      <c r="G26" s="217">
        <f t="shared" si="5"/>
        <v>7501</v>
      </c>
      <c r="H26" s="217">
        <f t="shared" si="5"/>
        <v>4772.7758776172523</v>
      </c>
      <c r="I26" s="217">
        <f t="shared" si="5"/>
        <v>4771.758060137272</v>
      </c>
      <c r="J26" s="217">
        <f t="shared" si="5"/>
        <v>4765.1568933342196</v>
      </c>
      <c r="K26" s="217">
        <f t="shared" si="5"/>
        <v>4752.9026795386244</v>
      </c>
      <c r="L26" s="217">
        <f t="shared" si="5"/>
        <v>4734.868544373333</v>
      </c>
    </row>
    <row r="27" spans="2:12" ht="15.75" outlineLevel="1" thickTop="1" x14ac:dyDescent="0.2">
      <c r="B27" s="15"/>
      <c r="C27" s="181"/>
      <c r="D27" s="181"/>
      <c r="E27" s="181"/>
      <c r="F27" s="181"/>
      <c r="G27" s="181"/>
      <c r="H27" s="181"/>
      <c r="I27" s="181"/>
      <c r="J27" s="181"/>
      <c r="K27" s="181"/>
      <c r="L27" s="181"/>
    </row>
    <row r="28" spans="2:12" outlineLevel="1" x14ac:dyDescent="0.2">
      <c r="B28" s="175" t="s">
        <v>152</v>
      </c>
      <c r="C28" s="175"/>
      <c r="D28" s="175"/>
      <c r="E28" s="175"/>
      <c r="F28" s="175"/>
      <c r="G28" s="175"/>
      <c r="H28" s="175"/>
      <c r="I28" s="175"/>
      <c r="J28" s="175"/>
      <c r="K28" s="175"/>
      <c r="L28" s="175"/>
    </row>
    <row r="29" spans="2:12" outlineLevel="1" x14ac:dyDescent="0.2">
      <c r="B29" s="17" t="s">
        <v>155</v>
      </c>
      <c r="C29" s="210" t="s">
        <v>58</v>
      </c>
      <c r="D29" s="211">
        <v>-4.3923484769726628E-2</v>
      </c>
      <c r="E29" s="211">
        <v>3.9362801065622843E-2</v>
      </c>
      <c r="F29" s="211">
        <v>5.5430594061132377E-2</v>
      </c>
      <c r="G29" s="211">
        <v>2.197257558235588E-2</v>
      </c>
      <c r="H29" s="209">
        <f>H9/G9-1</f>
        <v>1.2291716769298411E-2</v>
      </c>
      <c r="I29" s="209">
        <f>I9/H9-1</f>
        <v>2.1766531126713673E-2</v>
      </c>
      <c r="J29" s="209">
        <f>J9/I9-1</f>
        <v>2.1302842149968804E-2</v>
      </c>
      <c r="K29" s="209">
        <f>K9/J9-1</f>
        <v>2.0858496883376709E-2</v>
      </c>
      <c r="L29" s="209">
        <f>L9/K9-1</f>
        <v>2.0488288547369837E-2</v>
      </c>
    </row>
    <row r="30" spans="2:12" outlineLevel="1" x14ac:dyDescent="0.2">
      <c r="B30" s="17" t="s">
        <v>160</v>
      </c>
      <c r="C30" s="211">
        <v>0.45361610701043076</v>
      </c>
      <c r="D30" s="211">
        <v>0.4406386487613041</v>
      </c>
      <c r="E30" s="211">
        <v>0.45099475161723424</v>
      </c>
      <c r="F30" s="211">
        <v>0.45997026267966296</v>
      </c>
      <c r="G30" s="211">
        <v>0.44552214678305851</v>
      </c>
      <c r="H30" s="209">
        <f>FORECAST(H$5,$C30:$G30,$C$5:$G$5)</f>
        <v>0.45108864066161353</v>
      </c>
      <c r="I30" s="209">
        <f t="shared" ref="I30:L38" si="6">FORECAST(I$5,$C30:$G30,$C$5:$G$5)</f>
        <v>0.45140171666171891</v>
      </c>
      <c r="J30" s="209">
        <f t="shared" si="6"/>
        <v>0.45171479266182435</v>
      </c>
      <c r="K30" s="209">
        <f t="shared" si="6"/>
        <v>0.45202786866192973</v>
      </c>
      <c r="L30" s="209">
        <f t="shared" si="6"/>
        <v>0.45234180240450123</v>
      </c>
    </row>
    <row r="31" spans="2:12" outlineLevel="1" x14ac:dyDescent="0.2">
      <c r="B31" s="17" t="s">
        <v>158</v>
      </c>
      <c r="C31" s="211">
        <v>0.54638389298956924</v>
      </c>
      <c r="D31" s="211">
        <v>0.5593613512386959</v>
      </c>
      <c r="E31" s="211">
        <v>0.54900524838276576</v>
      </c>
      <c r="F31" s="211">
        <v>0.54002973732033699</v>
      </c>
      <c r="G31" s="211">
        <v>0.55447785321694143</v>
      </c>
      <c r="H31" s="209">
        <f>H12/H9</f>
        <v>0.54891135933838653</v>
      </c>
      <c r="I31" s="209">
        <f>I12/I9</f>
        <v>0.54859828333828109</v>
      </c>
      <c r="J31" s="209">
        <f>J12/J9</f>
        <v>0.54828520733817554</v>
      </c>
      <c r="K31" s="209">
        <f>K12/K9</f>
        <v>0.54797213133807032</v>
      </c>
      <c r="L31" s="209">
        <f>L12/L9</f>
        <v>0.54765819759549872</v>
      </c>
    </row>
    <row r="32" spans="2:12" outlineLevel="1" x14ac:dyDescent="0.2">
      <c r="B32" s="17" t="s">
        <v>161</v>
      </c>
      <c r="C32" s="211">
        <v>0.42682884568735491</v>
      </c>
      <c r="D32" s="211">
        <v>0.48610884575653779</v>
      </c>
      <c r="E32" s="211">
        <v>0.43997489145786473</v>
      </c>
      <c r="F32" s="211">
        <v>0.41592598711382783</v>
      </c>
      <c r="G32" s="211">
        <v>0.41671516327190428</v>
      </c>
      <c r="H32" s="209">
        <f>FORECAST(H$5,$C32:$G32,$C$5:$G$5)</f>
        <v>0.40999614675708962</v>
      </c>
      <c r="I32" s="209">
        <f t="shared" si="6"/>
        <v>0.40096784082418591</v>
      </c>
      <c r="J32" s="209">
        <f t="shared" si="6"/>
        <v>0.39193953489128219</v>
      </c>
      <c r="K32" s="209">
        <f t="shared" si="6"/>
        <v>0.38291122895837848</v>
      </c>
      <c r="L32" s="209">
        <f t="shared" si="6"/>
        <v>0.373858187940727</v>
      </c>
    </row>
    <row r="33" spans="1:16" outlineLevel="1" x14ac:dyDescent="0.2">
      <c r="B33" s="17" t="s">
        <v>229</v>
      </c>
      <c r="C33" s="211">
        <v>0.11955504730221436</v>
      </c>
      <c r="D33" s="211">
        <v>7.3252505482158073E-2</v>
      </c>
      <c r="E33" s="211">
        <v>0.10903035692490105</v>
      </c>
      <c r="F33" s="211">
        <v>0.12410375020650917</v>
      </c>
      <c r="G33" s="211">
        <v>0.13776268994503718</v>
      </c>
      <c r="H33" s="209">
        <f>H15/H9</f>
        <v>0.13891521258129694</v>
      </c>
      <c r="I33" s="209">
        <f>I15/I9</f>
        <v>0.14763044251409516</v>
      </c>
      <c r="J33" s="209">
        <f>J15/J9</f>
        <v>0.15634567244689337</v>
      </c>
      <c r="K33" s="209">
        <f>K15/K9</f>
        <v>0.16506090237969187</v>
      </c>
      <c r="L33" s="209">
        <f>L15/L9</f>
        <v>0.17380000965477171</v>
      </c>
    </row>
    <row r="34" spans="1:16" outlineLevel="1" x14ac:dyDescent="0.2">
      <c r="B34" s="17" t="s">
        <v>319</v>
      </c>
      <c r="C34" s="211">
        <v>1.1071836989292027E-2</v>
      </c>
      <c r="D34" s="211">
        <v>1.123615868355715E-2</v>
      </c>
      <c r="E34" s="211">
        <v>1.0671130407490716E-2</v>
      </c>
      <c r="F34" s="211">
        <v>1.0953246324136792E-2</v>
      </c>
      <c r="G34" s="211">
        <v>1.3902360168121564E-2</v>
      </c>
      <c r="H34" s="209">
        <f>FORECAST(H$5,$C34:$G34,$C$5:$G$5)</f>
        <v>1.3180792685292826E-2</v>
      </c>
      <c r="I34" s="209">
        <f t="shared" si="6"/>
        <v>1.3718152521392281E-2</v>
      </c>
      <c r="J34" s="209">
        <f t="shared" si="6"/>
        <v>1.4255512357491722E-2</v>
      </c>
      <c r="K34" s="209">
        <f t="shared" si="6"/>
        <v>1.4792872193591176E-2</v>
      </c>
      <c r="L34" s="209">
        <f t="shared" si="6"/>
        <v>1.5331704248419654E-2</v>
      </c>
    </row>
    <row r="35" spans="1:16" outlineLevel="1" x14ac:dyDescent="0.2">
      <c r="B35" s="17" t="s">
        <v>166</v>
      </c>
      <c r="C35" s="211">
        <v>1.7534740270991441E-2</v>
      </c>
      <c r="D35" s="211">
        <v>-1.4534514942278766E-2</v>
      </c>
      <c r="E35" s="211">
        <v>-1.5222053669508814E-2</v>
      </c>
      <c r="F35" s="211">
        <v>-9.5869816619857925E-2</v>
      </c>
      <c r="G35" s="211">
        <v>1.4775299062398965E-2</v>
      </c>
      <c r="H35" s="209">
        <f>FORECAST(H$5,$C35:$G35,$C$5:$G$5)</f>
        <v>-4.474926054949524E-2</v>
      </c>
      <c r="I35" s="209">
        <f t="shared" si="6"/>
        <v>-5.3435072308292142E-2</v>
      </c>
      <c r="J35" s="209">
        <f t="shared" si="6"/>
        <v>-6.2120884067089044E-2</v>
      </c>
      <c r="K35" s="209">
        <f t="shared" si="6"/>
        <v>-7.0806695825885946E-2</v>
      </c>
      <c r="L35" s="209">
        <f t="shared" si="6"/>
        <v>-7.9516304329227516E-2</v>
      </c>
    </row>
    <row r="36" spans="1:16" outlineLevel="1" x14ac:dyDescent="0.2">
      <c r="B36" s="17" t="s">
        <v>167</v>
      </c>
      <c r="C36" s="211">
        <v>2.3287243996257406E-2</v>
      </c>
      <c r="D36" s="211">
        <v>2.3342213523260661E-2</v>
      </c>
      <c r="E36" s="211">
        <v>2.0139143170999633E-2</v>
      </c>
      <c r="F36" s="211">
        <v>2.0089211961011069E-2</v>
      </c>
      <c r="G36" s="211">
        <v>2.5978014872292274E-2</v>
      </c>
      <c r="H36" s="209">
        <f>FORECAST(H$5,$C36:$G36,$C$5:$G$5)</f>
        <v>2.3205135333700985E-2</v>
      </c>
      <c r="I36" s="209">
        <f t="shared" si="6"/>
        <v>2.3417559150123102E-2</v>
      </c>
      <c r="J36" s="209">
        <f t="shared" si="6"/>
        <v>2.362998296654522E-2</v>
      </c>
      <c r="K36" s="209">
        <f t="shared" si="6"/>
        <v>2.3842406782967337E-2</v>
      </c>
      <c r="L36" s="209">
        <f t="shared" si="6"/>
        <v>2.4055412582448144E-2</v>
      </c>
    </row>
    <row r="37" spans="1:16" outlineLevel="1" x14ac:dyDescent="0.2">
      <c r="B37" s="17" t="s">
        <v>238</v>
      </c>
      <c r="C37" s="211">
        <v>0.12487438056624042</v>
      </c>
      <c r="D37" s="211">
        <v>4.6611935700175793E-2</v>
      </c>
      <c r="E37" s="211">
        <v>8.434029049188331E-2</v>
      </c>
      <c r="F37" s="211">
        <v>1.9097967949776969E-2</v>
      </c>
      <c r="G37" s="211">
        <v>0.14046233430326543</v>
      </c>
      <c r="H37" s="209">
        <f>H20/H9</f>
        <v>8.4141609383393545E-2</v>
      </c>
      <c r="I37" s="209">
        <f>I20/I9</f>
        <v>8.4495963577072175E-2</v>
      </c>
      <c r="J37" s="209">
        <f>J20/J9</f>
        <v>8.4850317770750847E-2</v>
      </c>
      <c r="K37" s="209">
        <f>K20/K9</f>
        <v>8.5204671964429768E-2</v>
      </c>
      <c r="L37" s="209">
        <f>L20/L9</f>
        <v>8.5559996991515702E-2</v>
      </c>
    </row>
    <row r="38" spans="1:16" outlineLevel="1" x14ac:dyDescent="0.2">
      <c r="B38" s="17" t="s">
        <v>170</v>
      </c>
      <c r="C38" s="211">
        <v>8.3252393506313312E-3</v>
      </c>
      <c r="D38" s="211">
        <v>-0.52877138413685842</v>
      </c>
      <c r="E38" s="211">
        <v>2.5635724622700022E-2</v>
      </c>
      <c r="F38" s="211">
        <v>-0.54152249134948094</v>
      </c>
      <c r="G38" s="211">
        <v>0.13534353780642192</v>
      </c>
      <c r="H38" s="209">
        <f>FORECAST(H$5,$C38:$G38,$C$5:$G$5)</f>
        <v>-0.10796722166251538</v>
      </c>
      <c r="I38" s="209">
        <f t="shared" si="6"/>
        <v>-8.39166940455085E-2</v>
      </c>
      <c r="J38" s="209">
        <f t="shared" si="6"/>
        <v>-5.9866166428501622E-2</v>
      </c>
      <c r="K38" s="209">
        <f t="shared" si="6"/>
        <v>-3.5815638811494743E-2</v>
      </c>
      <c r="L38" s="209">
        <f t="shared" si="6"/>
        <v>-1.1699219338002997E-2</v>
      </c>
    </row>
    <row r="39" spans="1:16" outlineLevel="1" x14ac:dyDescent="0.2">
      <c r="B39" s="17" t="s">
        <v>321</v>
      </c>
      <c r="C39" s="211">
        <v>0.12383477145926465</v>
      </c>
      <c r="D39" s="211">
        <v>7.1258993457655989E-2</v>
      </c>
      <c r="E39" s="211">
        <v>8.2178166030234867E-2</v>
      </c>
      <c r="F39" s="211">
        <v>2.9439947133652736E-2</v>
      </c>
      <c r="G39" s="211">
        <v>0.12145166505011316</v>
      </c>
      <c r="H39" s="209">
        <f>H23/H9</f>
        <v>9.322614517473117E-2</v>
      </c>
      <c r="I39" s="209">
        <f>I23/I9</f>
        <v>9.158658550064977E-2</v>
      </c>
      <c r="J39" s="209">
        <f>J23/J9</f>
        <v>8.9929981015925864E-2</v>
      </c>
      <c r="K39" s="209">
        <f>K23/K9</f>
        <v>8.8256331720559675E-2</v>
      </c>
      <c r="L39" s="209">
        <f>L23/L9</f>
        <v>8.6560982162878317E-2</v>
      </c>
    </row>
    <row r="40" spans="1:16" outlineLevel="1" x14ac:dyDescent="0.2">
      <c r="B40" s="17" t="s">
        <v>320</v>
      </c>
      <c r="C40" s="211">
        <v>3.9591780157327512E-2</v>
      </c>
      <c r="D40" s="211">
        <v>3.0047663060222187E-2</v>
      </c>
      <c r="E40" s="211">
        <v>1.795958222175725E-2</v>
      </c>
      <c r="F40" s="211">
        <v>-2.3624648934412688E-3</v>
      </c>
      <c r="G40" s="211">
        <v>-1.9398642095053346E-4</v>
      </c>
      <c r="H40" s="209">
        <f>AVERAGE(C40:G40)</f>
        <v>1.7008514824983029E-2</v>
      </c>
      <c r="I40" s="209">
        <f>H40</f>
        <v>1.7008514824983029E-2</v>
      </c>
      <c r="J40" s="209">
        <f>I40</f>
        <v>1.7008514824983029E-2</v>
      </c>
      <c r="K40" s="209">
        <f>J40</f>
        <v>1.7008514824983029E-2</v>
      </c>
      <c r="L40" s="209">
        <f>K40</f>
        <v>1.7008514824983029E-2</v>
      </c>
    </row>
    <row r="41" spans="1:16" outlineLevel="1" x14ac:dyDescent="0.2">
      <c r="B41" s="17" t="s">
        <v>235</v>
      </c>
      <c r="C41" s="211">
        <v>0.16342655161659217</v>
      </c>
      <c r="D41" s="211">
        <v>0.10130665651787818</v>
      </c>
      <c r="E41" s="211">
        <v>0.10013774825199212</v>
      </c>
      <c r="F41" s="211">
        <v>2.7077482240211465E-2</v>
      </c>
      <c r="G41" s="211">
        <v>0.12125767862916262</v>
      </c>
      <c r="H41" s="209">
        <f>H26/H9</f>
        <v>7.6217630349748142E-2</v>
      </c>
      <c r="I41" s="209">
        <f>I26/I9</f>
        <v>7.4578070675666741E-2</v>
      </c>
      <c r="J41" s="209">
        <f>J26/J9</f>
        <v>7.2921466190942835E-2</v>
      </c>
      <c r="K41" s="209">
        <f>K26/K9</f>
        <v>7.1247816895576646E-2</v>
      </c>
      <c r="L41" s="209">
        <f>L26/L9</f>
        <v>6.9552467337895288E-2</v>
      </c>
    </row>
    <row r="42" spans="1:16" outlineLevel="1" x14ac:dyDescent="0.2">
      <c r="H42" s="10"/>
      <c r="I42" s="10"/>
      <c r="J42" s="10"/>
      <c r="K42" s="10"/>
      <c r="L42" s="10"/>
    </row>
    <row r="43" spans="1:16" x14ac:dyDescent="0.2">
      <c r="D43" s="10"/>
      <c r="E43" s="10"/>
      <c r="F43" s="10"/>
      <c r="G43" s="10"/>
      <c r="M43" s="3"/>
      <c r="N43" s="3"/>
      <c r="O43" s="3"/>
      <c r="P43" s="3"/>
    </row>
    <row r="44" spans="1:16" x14ac:dyDescent="0.2">
      <c r="A44" s="3" t="s">
        <v>182</v>
      </c>
      <c r="B44" s="175" t="s">
        <v>148</v>
      </c>
      <c r="C44" s="139"/>
      <c r="D44" s="12"/>
      <c r="E44" s="12"/>
      <c r="F44" s="12"/>
      <c r="G44" s="12"/>
      <c r="H44" s="12"/>
      <c r="I44" s="12"/>
      <c r="J44" s="12"/>
      <c r="K44" s="12"/>
      <c r="L44" s="12"/>
    </row>
    <row r="45" spans="1:16" outlineLevel="1" x14ac:dyDescent="0.2">
      <c r="B45" s="15" t="s">
        <v>83</v>
      </c>
      <c r="C45" s="183">
        <v>9432</v>
      </c>
      <c r="D45" s="183">
        <v>5590</v>
      </c>
      <c r="E45" s="183">
        <v>5743</v>
      </c>
      <c r="F45" s="183">
        <v>1639</v>
      </c>
      <c r="G45" s="183">
        <v>7501</v>
      </c>
      <c r="H45" s="91">
        <f>H20</f>
        <v>5268.9783417057015</v>
      </c>
      <c r="I45" s="91">
        <f>I20</f>
        <v>5406.3385066826795</v>
      </c>
      <c r="J45" s="91">
        <f>J20</f>
        <v>5544.664661132545</v>
      </c>
      <c r="K45" s="91">
        <f>K20</f>
        <v>5683.9568050553125</v>
      </c>
      <c r="L45" s="91">
        <f>L20</f>
        <v>5824.6005342082199</v>
      </c>
    </row>
    <row r="46" spans="1:16" outlineLevel="1" x14ac:dyDescent="0.2">
      <c r="B46" s="15" t="s">
        <v>286</v>
      </c>
      <c r="C46" s="184"/>
      <c r="D46" s="184"/>
      <c r="E46" s="184"/>
      <c r="F46" s="184"/>
      <c r="G46" s="184"/>
      <c r="H46" s="87"/>
      <c r="I46" s="87"/>
      <c r="J46" s="87"/>
      <c r="K46" s="87"/>
      <c r="L46" s="87"/>
    </row>
    <row r="47" spans="1:16" outlineLevel="1" x14ac:dyDescent="0.2">
      <c r="B47" s="161" t="s">
        <v>287</v>
      </c>
      <c r="C47" s="183">
        <v>-40</v>
      </c>
      <c r="D47" s="183">
        <v>-1499</v>
      </c>
      <c r="E47" s="183">
        <v>986</v>
      </c>
      <c r="F47" s="183">
        <v>177</v>
      </c>
      <c r="G47" s="183">
        <v>2</v>
      </c>
      <c r="H47" s="91">
        <f>FORECAST(H5,$C$47:$G$47,$C$5:$G$5)</f>
        <v>453.17108056709185</v>
      </c>
      <c r="I47" s="91">
        <f>FORECAST(I5,$C$47:$G$47,$C$5:$G$5)</f>
        <v>628.96878573675713</v>
      </c>
      <c r="J47" s="91">
        <f>FORECAST(J5,$C$47:$G$47,$C$5:$G$5)</f>
        <v>804.76649090642604</v>
      </c>
      <c r="K47" s="91">
        <f>FORECAST(K5,$C$47:$G$47,$C$5:$G$5)</f>
        <v>980.56419607609132</v>
      </c>
      <c r="L47" s="91">
        <f>FORECAST(L5,$C$47:$G$47,$C$5:$G$5)</f>
        <v>1156.8435387941681</v>
      </c>
    </row>
    <row r="48" spans="1:16" outlineLevel="1" x14ac:dyDescent="0.2">
      <c r="B48" s="161" t="s">
        <v>288</v>
      </c>
      <c r="C48" s="89"/>
      <c r="D48" s="89"/>
      <c r="E48" s="89"/>
      <c r="F48" s="89"/>
      <c r="G48" s="89"/>
      <c r="H48" s="87"/>
      <c r="I48" s="87"/>
      <c r="J48" s="87"/>
      <c r="K48" s="87"/>
      <c r="L48" s="87"/>
    </row>
    <row r="49" spans="2:12" outlineLevel="1" x14ac:dyDescent="0.2">
      <c r="B49" s="162" t="s">
        <v>289</v>
      </c>
      <c r="C49" s="184">
        <v>1</v>
      </c>
      <c r="D49" s="184">
        <v>-1</v>
      </c>
      <c r="E49" s="184">
        <v>0</v>
      </c>
      <c r="F49" s="184">
        <v>-1</v>
      </c>
      <c r="G49" s="184">
        <v>0</v>
      </c>
      <c r="H49" s="87">
        <f>FORECAST(H5,$C$49:$G$49,$C$5:$G$5)</f>
        <v>-0.80098594088013542</v>
      </c>
      <c r="I49" s="87">
        <f>FORECAST(I5,$C$49:$G$49,$C$5:$G$5)</f>
        <v>-1.0010952899234198</v>
      </c>
      <c r="J49" s="87">
        <f>FORECAST(J5,$C$49:$G$49,$C$5:$G$5)</f>
        <v>-1.2012046389667077</v>
      </c>
      <c r="K49" s="87">
        <f>FORECAST(K5,$C$49:$G$49,$C$5:$G$5)</f>
        <v>-1.4013139880099921</v>
      </c>
      <c r="L49" s="87">
        <f>FORECAST(L5,$C$49:$G$49,$C$5:$G$5)</f>
        <v>-1.6019715818451772</v>
      </c>
    </row>
    <row r="50" spans="2:12" outlineLevel="1" x14ac:dyDescent="0.2">
      <c r="B50" s="162" t="s">
        <v>290</v>
      </c>
      <c r="C50" s="184" t="s">
        <v>0</v>
      </c>
      <c r="D50" s="184" t="s">
        <v>0</v>
      </c>
      <c r="E50" s="184" t="s">
        <v>0</v>
      </c>
      <c r="F50" s="184" t="s">
        <v>0</v>
      </c>
      <c r="G50" s="184" t="s">
        <v>0</v>
      </c>
      <c r="H50" s="179" t="s">
        <v>0</v>
      </c>
      <c r="I50" s="179" t="s">
        <v>0</v>
      </c>
      <c r="J50" s="179" t="s">
        <v>0</v>
      </c>
      <c r="K50" s="179" t="s">
        <v>0</v>
      </c>
      <c r="L50" s="179" t="s">
        <v>0</v>
      </c>
    </row>
    <row r="51" spans="2:12" ht="30" outlineLevel="1" x14ac:dyDescent="0.2">
      <c r="B51" s="185" t="s">
        <v>291</v>
      </c>
      <c r="C51" s="186">
        <f t="shared" ref="C51:L51" si="7">SUM(C49:C50)</f>
        <v>1</v>
      </c>
      <c r="D51" s="186">
        <f t="shared" si="7"/>
        <v>-1</v>
      </c>
      <c r="E51" s="186">
        <f t="shared" si="7"/>
        <v>0</v>
      </c>
      <c r="F51" s="186">
        <f t="shared" si="7"/>
        <v>-1</v>
      </c>
      <c r="G51" s="186">
        <f t="shared" si="7"/>
        <v>0</v>
      </c>
      <c r="H51" s="186">
        <f t="shared" si="7"/>
        <v>-0.80098594088013542</v>
      </c>
      <c r="I51" s="186">
        <f t="shared" si="7"/>
        <v>-1.0010952899234198</v>
      </c>
      <c r="J51" s="186">
        <f t="shared" si="7"/>
        <v>-1.2012046389667077</v>
      </c>
      <c r="K51" s="186">
        <f t="shared" si="7"/>
        <v>-1.4013139880099921</v>
      </c>
      <c r="L51" s="186">
        <f t="shared" si="7"/>
        <v>-1.6019715818451772</v>
      </c>
    </row>
    <row r="52" spans="2:12" outlineLevel="1" x14ac:dyDescent="0.2">
      <c r="B52" s="161" t="s">
        <v>292</v>
      </c>
      <c r="C52" s="87"/>
      <c r="D52" s="87"/>
      <c r="E52" s="87"/>
      <c r="F52" s="87"/>
      <c r="G52" s="87"/>
      <c r="H52" s="87"/>
      <c r="I52" s="87"/>
      <c r="J52" s="87"/>
      <c r="K52" s="87"/>
      <c r="L52" s="87"/>
    </row>
    <row r="53" spans="2:12" outlineLevel="1" x14ac:dyDescent="0.2">
      <c r="B53" s="162" t="s">
        <v>289</v>
      </c>
      <c r="C53" s="184">
        <v>-689</v>
      </c>
      <c r="D53" s="184">
        <v>-349</v>
      </c>
      <c r="E53" s="184">
        <v>344</v>
      </c>
      <c r="F53" s="184">
        <v>241</v>
      </c>
      <c r="G53" s="184">
        <v>207</v>
      </c>
      <c r="H53" s="87">
        <f>FORECAST(H5,$C$53:$G$53,$C$5:$G$5)</f>
        <v>665.9254340596126</v>
      </c>
      <c r="I53" s="87">
        <f>FORECAST(I5,$C$53:$G$53,$C$5:$G$5)</f>
        <v>904.03963168026894</v>
      </c>
      <c r="J53" s="87">
        <f>FORECAST(J5,$C$53:$G$53,$C$5:$G$5)</f>
        <v>1142.1538293009216</v>
      </c>
      <c r="K53" s="87">
        <f>FORECAST(K5,$C$53:$G$53,$C$5:$G$5)</f>
        <v>1380.2680269215743</v>
      </c>
      <c r="L53" s="87">
        <f>FORECAST(L5,$C$53:$G$53,$C$5:$G$5)</f>
        <v>1619.0345922069428</v>
      </c>
    </row>
    <row r="54" spans="2:12" outlineLevel="1" x14ac:dyDescent="0.2">
      <c r="B54" s="162" t="s">
        <v>290</v>
      </c>
      <c r="C54" s="184">
        <v>75</v>
      </c>
      <c r="D54" s="184">
        <v>-21</v>
      </c>
      <c r="E54" s="184">
        <v>243</v>
      </c>
      <c r="F54" s="184">
        <v>-400</v>
      </c>
      <c r="G54" s="184">
        <v>-159</v>
      </c>
      <c r="H54" s="87">
        <f>FORECAST(H5,$C$54:$G$54,$C$5:$G$5)</f>
        <v>-306.6045598491055</v>
      </c>
      <c r="I54" s="87">
        <f>FORECAST(I5,$C$54:$G$54,$C$5:$G$5)</f>
        <v>-391.2466546720625</v>
      </c>
      <c r="J54" s="87">
        <f>FORECAST(J5,$C$54:$G$54,$C$5:$G$5)</f>
        <v>-475.88874949501769</v>
      </c>
      <c r="K54" s="87">
        <f>FORECAST(K5,$C$54:$G$54,$C$5:$G$5)</f>
        <v>-560.53084431797288</v>
      </c>
      <c r="L54" s="87">
        <f>FORECAST(L5,$C$54:$G$54,$C$5:$G$5)</f>
        <v>-645.40483529112862</v>
      </c>
    </row>
    <row r="55" spans="2:12" outlineLevel="1" x14ac:dyDescent="0.2">
      <c r="B55" s="187" t="s">
        <v>293</v>
      </c>
      <c r="C55" s="188">
        <f t="shared" ref="C55:L55" si="8">SUM(C53:C54)</f>
        <v>-614</v>
      </c>
      <c r="D55" s="188">
        <f t="shared" si="8"/>
        <v>-370</v>
      </c>
      <c r="E55" s="188">
        <f t="shared" si="8"/>
        <v>587</v>
      </c>
      <c r="F55" s="188">
        <f t="shared" si="8"/>
        <v>-159</v>
      </c>
      <c r="G55" s="188">
        <f t="shared" si="8"/>
        <v>48</v>
      </c>
      <c r="H55" s="188">
        <f t="shared" si="8"/>
        <v>359.3208742105071</v>
      </c>
      <c r="I55" s="188">
        <f t="shared" si="8"/>
        <v>512.79297700820644</v>
      </c>
      <c r="J55" s="188">
        <f t="shared" si="8"/>
        <v>666.26507980590395</v>
      </c>
      <c r="K55" s="188">
        <f t="shared" si="8"/>
        <v>819.73718260360147</v>
      </c>
      <c r="L55" s="188">
        <f t="shared" si="8"/>
        <v>973.62975691581414</v>
      </c>
    </row>
    <row r="56" spans="2:12" outlineLevel="1" x14ac:dyDescent="0.2">
      <c r="B56" s="161" t="s">
        <v>294</v>
      </c>
      <c r="C56" s="87"/>
      <c r="D56" s="87"/>
      <c r="E56" s="87"/>
      <c r="F56" s="87"/>
      <c r="G56" s="87"/>
      <c r="H56" s="87"/>
      <c r="I56" s="87"/>
      <c r="J56" s="87"/>
      <c r="K56" s="87"/>
      <c r="L56" s="87"/>
    </row>
    <row r="57" spans="2:12" outlineLevel="1" x14ac:dyDescent="0.2">
      <c r="B57" s="162" t="s">
        <v>295</v>
      </c>
      <c r="C57" s="184">
        <v>-73</v>
      </c>
      <c r="D57" s="184">
        <v>-37</v>
      </c>
      <c r="E57" s="184">
        <v>-51</v>
      </c>
      <c r="F57" s="184">
        <v>463</v>
      </c>
      <c r="G57" s="184">
        <v>2</v>
      </c>
      <c r="H57" s="87">
        <f>FORECAST(H$5,$C57:$G57,$C$5:$G$5)</f>
        <v>255.90985556988744</v>
      </c>
      <c r="I57" s="87">
        <f t="shared" ref="I57:L58" si="9">FORECAST(I$5,$C57:$G57,$C$5:$G$5)</f>
        <v>320.87527910848348</v>
      </c>
      <c r="J57" s="87">
        <f t="shared" si="9"/>
        <v>385.84070264708043</v>
      </c>
      <c r="K57" s="87">
        <f t="shared" si="9"/>
        <v>450.80612618567557</v>
      </c>
      <c r="L57" s="87">
        <f t="shared" si="9"/>
        <v>515.9495371860221</v>
      </c>
    </row>
    <row r="58" spans="2:12" outlineLevel="1" x14ac:dyDescent="0.2">
      <c r="B58" s="162" t="s">
        <v>296</v>
      </c>
      <c r="C58" s="184">
        <v>-120</v>
      </c>
      <c r="D58" s="184">
        <v>-1678</v>
      </c>
      <c r="E58" s="184">
        <v>2433</v>
      </c>
      <c r="F58" s="184">
        <v>878</v>
      </c>
      <c r="G58" s="184">
        <v>-3115</v>
      </c>
      <c r="H58" s="87">
        <f>FORECAST(H$5,$C58:$G58,$C$5:$G$5)</f>
        <v>-1350.764094284903</v>
      </c>
      <c r="I58" s="87">
        <f>FORECAST(I$5,$C58:$G58,$C$5:$G$5)</f>
        <v>-1693.8428156988739</v>
      </c>
      <c r="J58" s="87">
        <f t="shared" si="9"/>
        <v>-2036.9215371128375</v>
      </c>
      <c r="K58" s="87">
        <f t="shared" si="9"/>
        <v>-2380.0002585268085</v>
      </c>
      <c r="L58" s="87">
        <f t="shared" si="9"/>
        <v>-2724.0189216432773</v>
      </c>
    </row>
    <row r="59" spans="2:12" outlineLevel="1" x14ac:dyDescent="0.2">
      <c r="B59" s="162" t="s">
        <v>297</v>
      </c>
      <c r="C59" s="184">
        <v>41</v>
      </c>
      <c r="D59" s="184">
        <v>52</v>
      </c>
      <c r="E59" s="184">
        <v>94</v>
      </c>
      <c r="F59" s="184">
        <v>5970</v>
      </c>
      <c r="G59" s="184">
        <v>5</v>
      </c>
      <c r="H59" s="87">
        <f t="shared" ref="H59:L64" si="10">FORECAST(H$5,$C59:$G59,$C$5:$G$5)</f>
        <v>2987.1781803071499</v>
      </c>
      <c r="I59" s="87">
        <f t="shared" si="10"/>
        <v>3571.4639272621862</v>
      </c>
      <c r="J59" s="87">
        <f t="shared" si="10"/>
        <v>4155.7496742172225</v>
      </c>
      <c r="K59" s="87">
        <f t="shared" si="10"/>
        <v>4740.0354211722588</v>
      </c>
      <c r="L59" s="87">
        <f t="shared" si="10"/>
        <v>5325.9219509956602</v>
      </c>
    </row>
    <row r="60" spans="2:12" outlineLevel="1" x14ac:dyDescent="0.2">
      <c r="B60" s="162" t="s">
        <v>298</v>
      </c>
      <c r="C60" s="184">
        <v>-9</v>
      </c>
      <c r="D60" s="184">
        <v>13</v>
      </c>
      <c r="E60" s="184">
        <v>9</v>
      </c>
      <c r="F60" s="184">
        <v>12</v>
      </c>
      <c r="G60" s="184">
        <v>-9</v>
      </c>
      <c r="H60" s="87">
        <f t="shared" si="10"/>
        <v>2.9100275711945951</v>
      </c>
      <c r="I60" s="87">
        <f>FORECAST(I$5,$C60:$G60,$C$5:$G$5)</f>
        <v>2.8134759049713036</v>
      </c>
      <c r="J60" s="87">
        <f>FORECAST(J$5,$C60:$G60,$C$5:$G$5)</f>
        <v>2.7169242387480121</v>
      </c>
      <c r="K60" s="87">
        <f>FORECAST(K$5,$C60:$G60,$C$5:$G$5)</f>
        <v>2.6203725725247189</v>
      </c>
      <c r="L60" s="87">
        <f t="shared" si="10"/>
        <v>2.5235563811884862</v>
      </c>
    </row>
    <row r="61" spans="2:12" outlineLevel="1" x14ac:dyDescent="0.2">
      <c r="B61" s="162" t="s">
        <v>299</v>
      </c>
      <c r="C61" s="184">
        <v>1843</v>
      </c>
      <c r="D61" s="184">
        <v>2314</v>
      </c>
      <c r="E61" s="184">
        <v>2484</v>
      </c>
      <c r="F61" s="184">
        <v>1596</v>
      </c>
      <c r="G61" s="184">
        <v>515</v>
      </c>
      <c r="H61" s="87">
        <f t="shared" si="10"/>
        <v>738.124497604731</v>
      </c>
      <c r="I61" s="87">
        <f t="shared" si="10"/>
        <v>401.06870634923689</v>
      </c>
      <c r="J61" s="87">
        <f t="shared" si="10"/>
        <v>64.012915093735501</v>
      </c>
      <c r="K61" s="87">
        <f t="shared" si="10"/>
        <v>-273.04287616175861</v>
      </c>
      <c r="L61" s="87">
        <f t="shared" si="10"/>
        <v>-611.02210794124403</v>
      </c>
    </row>
    <row r="62" spans="2:12" outlineLevel="1" x14ac:dyDescent="0.2">
      <c r="B62" s="161" t="s">
        <v>300</v>
      </c>
      <c r="C62" s="91">
        <f t="shared" ref="C62:L62" si="11">SUM(C57:C61)</f>
        <v>1682</v>
      </c>
      <c r="D62" s="91">
        <f t="shared" si="11"/>
        <v>664</v>
      </c>
      <c r="E62" s="91">
        <f t="shared" si="11"/>
        <v>4969</v>
      </c>
      <c r="F62" s="91">
        <f t="shared" si="11"/>
        <v>8919</v>
      </c>
      <c r="G62" s="91">
        <f t="shared" si="11"/>
        <v>-2602</v>
      </c>
      <c r="H62" s="91">
        <f t="shared" si="11"/>
        <v>2633.3584667680598</v>
      </c>
      <c r="I62" s="91">
        <f t="shared" si="11"/>
        <v>2602.3785729260039</v>
      </c>
      <c r="J62" s="91">
        <f t="shared" si="11"/>
        <v>2571.398679083949</v>
      </c>
      <c r="K62" s="91">
        <f t="shared" si="11"/>
        <v>2540.4187852418918</v>
      </c>
      <c r="L62" s="91">
        <f t="shared" si="11"/>
        <v>2509.3540149783494</v>
      </c>
    </row>
    <row r="63" spans="2:12" outlineLevel="1" x14ac:dyDescent="0.2">
      <c r="B63" s="157" t="s">
        <v>286</v>
      </c>
      <c r="C63" s="188">
        <f t="shared" ref="C63:L63" si="12">C47+C51+C55+C62</f>
        <v>1029</v>
      </c>
      <c r="D63" s="188">
        <f t="shared" si="12"/>
        <v>-1206</v>
      </c>
      <c r="E63" s="188">
        <f t="shared" si="12"/>
        <v>6542</v>
      </c>
      <c r="F63" s="188">
        <f t="shared" si="12"/>
        <v>8936</v>
      </c>
      <c r="G63" s="188">
        <f t="shared" si="12"/>
        <v>-2552</v>
      </c>
      <c r="H63" s="188">
        <f t="shared" si="12"/>
        <v>3445.0494356047784</v>
      </c>
      <c r="I63" s="188">
        <f t="shared" si="12"/>
        <v>3743.1392403810441</v>
      </c>
      <c r="J63" s="188">
        <f t="shared" si="12"/>
        <v>4041.2290451573122</v>
      </c>
      <c r="K63" s="188">
        <f t="shared" si="12"/>
        <v>4339.3188499335747</v>
      </c>
      <c r="L63" s="188">
        <f t="shared" si="12"/>
        <v>4638.225339106486</v>
      </c>
    </row>
    <row r="64" spans="2:12" ht="30" outlineLevel="1" x14ac:dyDescent="0.2">
      <c r="B64" s="17" t="s">
        <v>314</v>
      </c>
      <c r="C64" s="184">
        <v>-136</v>
      </c>
      <c r="D64" s="184">
        <v>466</v>
      </c>
      <c r="E64" s="184">
        <v>-1703</v>
      </c>
      <c r="F64" s="184">
        <v>-2442</v>
      </c>
      <c r="G64" s="184">
        <v>531</v>
      </c>
      <c r="H64" s="87">
        <f>FORECAST(H$5,$C64:$G64,$C$5:$G$5)</f>
        <v>-1129.4277712979419</v>
      </c>
      <c r="I64" s="87">
        <f t="shared" si="10"/>
        <v>-1286.7979013141376</v>
      </c>
      <c r="J64" s="87">
        <f t="shared" si="10"/>
        <v>-1444.1680313303295</v>
      </c>
      <c r="K64" s="87">
        <f t="shared" si="10"/>
        <v>-1601.5381613465215</v>
      </c>
      <c r="L64" s="87">
        <f t="shared" si="10"/>
        <v>-1759.3394424038524</v>
      </c>
    </row>
    <row r="65" spans="1:12" outlineLevel="1" x14ac:dyDescent="0.2">
      <c r="B65" s="157" t="s">
        <v>302</v>
      </c>
      <c r="C65" s="188">
        <f t="shared" ref="C65:L65" si="13">SUM(C63:C64)</f>
        <v>893</v>
      </c>
      <c r="D65" s="188">
        <f t="shared" si="13"/>
        <v>-740</v>
      </c>
      <c r="E65" s="188">
        <f t="shared" si="13"/>
        <v>4839</v>
      </c>
      <c r="F65" s="188">
        <f t="shared" si="13"/>
        <v>6494</v>
      </c>
      <c r="G65" s="188">
        <f t="shared" si="13"/>
        <v>-2021</v>
      </c>
      <c r="H65" s="188">
        <f t="shared" si="13"/>
        <v>2315.6216643068365</v>
      </c>
      <c r="I65" s="188">
        <f t="shared" si="13"/>
        <v>2456.3413390669066</v>
      </c>
      <c r="J65" s="188">
        <f t="shared" si="13"/>
        <v>2597.0610138269826</v>
      </c>
      <c r="K65" s="188">
        <f t="shared" si="13"/>
        <v>2737.7806885870532</v>
      </c>
      <c r="L65" s="188">
        <f t="shared" si="13"/>
        <v>2878.8858967026335</v>
      </c>
    </row>
    <row r="66" spans="1:12" ht="15.75" outlineLevel="1" thickBot="1" x14ac:dyDescent="0.25">
      <c r="B66" s="182" t="s">
        <v>303</v>
      </c>
      <c r="C66" s="189">
        <f t="shared" ref="C66:L66" si="14">C45+C65</f>
        <v>10325</v>
      </c>
      <c r="D66" s="189">
        <f t="shared" si="14"/>
        <v>4850</v>
      </c>
      <c r="E66" s="189">
        <f t="shared" si="14"/>
        <v>10582</v>
      </c>
      <c r="F66" s="189">
        <f t="shared" si="14"/>
        <v>8133</v>
      </c>
      <c r="G66" s="189">
        <f t="shared" si="14"/>
        <v>5480</v>
      </c>
      <c r="H66" s="189">
        <f t="shared" si="14"/>
        <v>7584.600006012538</v>
      </c>
      <c r="I66" s="189">
        <f t="shared" si="14"/>
        <v>7862.6798457495861</v>
      </c>
      <c r="J66" s="189">
        <f t="shared" si="14"/>
        <v>8141.7256749595272</v>
      </c>
      <c r="K66" s="189">
        <f t="shared" si="14"/>
        <v>8421.7374936423657</v>
      </c>
      <c r="L66" s="189">
        <f t="shared" si="14"/>
        <v>8703.4864309108525</v>
      </c>
    </row>
    <row r="67" spans="1:12" ht="15.75" outlineLevel="1" thickTop="1" x14ac:dyDescent="0.2">
      <c r="D67" s="10"/>
      <c r="E67" s="10"/>
      <c r="F67" s="10"/>
      <c r="G67" s="10"/>
      <c r="H67" s="10"/>
      <c r="I67" s="10"/>
      <c r="J67" s="10"/>
      <c r="K67" s="10"/>
      <c r="L67" s="10"/>
    </row>
    <row r="68" spans="1:12" x14ac:dyDescent="0.2"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 spans="1:12" x14ac:dyDescent="0.2">
      <c r="A69" s="3" t="s">
        <v>182</v>
      </c>
      <c r="B69" s="175" t="s">
        <v>147</v>
      </c>
      <c r="C69" s="139"/>
      <c r="D69" s="12"/>
      <c r="E69" s="12"/>
      <c r="F69" s="12"/>
      <c r="G69" s="12"/>
      <c r="H69" s="12"/>
      <c r="I69" s="12"/>
      <c r="J69" s="12"/>
      <c r="K69" s="12"/>
      <c r="L69" s="12"/>
    </row>
    <row r="70" spans="1:12" outlineLevel="1" x14ac:dyDescent="0.25">
      <c r="B70" s="13" t="s">
        <v>50</v>
      </c>
      <c r="C70" s="190"/>
      <c r="D70" s="190"/>
      <c r="E70" s="190"/>
      <c r="F70" s="190"/>
      <c r="G70" s="190"/>
      <c r="H70" s="10"/>
      <c r="I70" s="10"/>
      <c r="J70" s="10"/>
      <c r="K70" s="10"/>
      <c r="L70" s="10"/>
    </row>
    <row r="71" spans="1:12" outlineLevel="1" x14ac:dyDescent="0.25">
      <c r="B71" s="14" t="s">
        <v>49</v>
      </c>
      <c r="C71" s="50"/>
      <c r="D71" s="50"/>
      <c r="E71" s="50"/>
      <c r="F71" s="50"/>
      <c r="G71" s="190"/>
      <c r="H71" s="10"/>
      <c r="I71" s="10"/>
      <c r="J71" s="10"/>
      <c r="K71" s="10"/>
      <c r="L71" s="10"/>
    </row>
    <row r="72" spans="1:12" outlineLevel="1" x14ac:dyDescent="0.2">
      <c r="B72" s="163" t="s">
        <v>184</v>
      </c>
      <c r="C72" s="178">
        <v>8314</v>
      </c>
      <c r="D72" s="178">
        <v>13676</v>
      </c>
      <c r="E72" s="178">
        <v>6959</v>
      </c>
      <c r="F72" s="178">
        <v>7990</v>
      </c>
      <c r="G72" s="178">
        <v>13089</v>
      </c>
      <c r="H72" s="53">
        <f>H176</f>
        <v>9687.5717776490583</v>
      </c>
      <c r="I72" s="53">
        <f>I176</f>
        <v>11075.83326551907</v>
      </c>
      <c r="J72" s="53">
        <f>J176</f>
        <v>11745.089114286953</v>
      </c>
      <c r="K72" s="53">
        <f>K176</f>
        <v>12136.151876960177</v>
      </c>
      <c r="L72" s="53">
        <f>L176</f>
        <v>11998.633961833975</v>
      </c>
    </row>
    <row r="73" spans="1:12" outlineLevel="1" x14ac:dyDescent="0.2">
      <c r="B73" s="163" t="s">
        <v>185</v>
      </c>
      <c r="C73" s="178">
        <v>141</v>
      </c>
      <c r="D73" s="178">
        <v>463</v>
      </c>
      <c r="E73" s="178">
        <v>307</v>
      </c>
      <c r="F73" s="178">
        <v>103</v>
      </c>
      <c r="G73" s="178">
        <v>22</v>
      </c>
      <c r="H73" s="53">
        <f>AVERAGE(C73:G73)</f>
        <v>207.2</v>
      </c>
      <c r="I73" s="53">
        <f>AVERAGE(D73:H73)</f>
        <v>220.44</v>
      </c>
      <c r="J73" s="53">
        <f>AVERAGE(E73:I73)</f>
        <v>171.92800000000003</v>
      </c>
      <c r="K73" s="53">
        <f>AVERAGE(F73:J73)</f>
        <v>144.9136</v>
      </c>
      <c r="L73" s="53">
        <f>AVERAGE(G73:K73)</f>
        <v>153.29631999999998</v>
      </c>
    </row>
    <row r="74" spans="1:12" outlineLevel="1" x14ac:dyDescent="0.2">
      <c r="B74" s="163" t="s">
        <v>186</v>
      </c>
      <c r="C74" s="178">
        <v>696</v>
      </c>
      <c r="D74" s="178">
        <v>600</v>
      </c>
      <c r="E74" s="178">
        <v>600</v>
      </c>
      <c r="F74" s="178">
        <v>748</v>
      </c>
      <c r="G74" s="178">
        <v>373</v>
      </c>
      <c r="H74" s="53">
        <f t="shared" ref="H74:H82" si="15">AVERAGE(C74:G74)</f>
        <v>603.4</v>
      </c>
      <c r="I74" s="53">
        <f t="shared" ref="I74:I82" si="16">AVERAGE(D74:H74)</f>
        <v>584.88</v>
      </c>
      <c r="J74" s="53">
        <f t="shared" ref="J74:J82" si="17">AVERAGE(E74:I74)</f>
        <v>581.85599999999999</v>
      </c>
      <c r="K74" s="53">
        <f t="shared" ref="K74:K82" si="18">AVERAGE(F74:J74)</f>
        <v>578.22720000000004</v>
      </c>
      <c r="L74" s="53">
        <f t="shared" ref="L74:L82" si="19">AVERAGE(G74:K74)</f>
        <v>544.27263999999991</v>
      </c>
    </row>
    <row r="75" spans="1:12" ht="30" outlineLevel="1" x14ac:dyDescent="0.2">
      <c r="B75" s="164" t="s">
        <v>51</v>
      </c>
      <c r="C75" s="178">
        <v>7870</v>
      </c>
      <c r="D75" s="178">
        <v>5790</v>
      </c>
      <c r="E75" s="178">
        <v>6754</v>
      </c>
      <c r="F75" s="178">
        <v>6541</v>
      </c>
      <c r="G75" s="178">
        <v>7193</v>
      </c>
      <c r="H75" s="53">
        <f t="shared" si="15"/>
        <v>6829.6</v>
      </c>
      <c r="I75" s="53">
        <f t="shared" si="16"/>
        <v>6621.5199999999995</v>
      </c>
      <c r="J75" s="53">
        <f t="shared" si="17"/>
        <v>6787.8239999999987</v>
      </c>
      <c r="K75" s="53">
        <f t="shared" si="18"/>
        <v>6794.5887999999995</v>
      </c>
      <c r="L75" s="53">
        <f t="shared" si="19"/>
        <v>6845.3065599999991</v>
      </c>
    </row>
    <row r="76" spans="1:12" outlineLevel="1" x14ac:dyDescent="0.2">
      <c r="B76" s="164" t="s">
        <v>43</v>
      </c>
      <c r="C76" s="178">
        <v>14050</v>
      </c>
      <c r="D76" s="180" t="s">
        <v>0</v>
      </c>
      <c r="E76" s="180" t="s">
        <v>0</v>
      </c>
      <c r="F76" s="180" t="s">
        <v>0</v>
      </c>
      <c r="G76" s="180" t="s">
        <v>0</v>
      </c>
      <c r="H76" s="180" t="s">
        <v>0</v>
      </c>
      <c r="I76" s="180" t="s">
        <v>0</v>
      </c>
      <c r="J76" s="180" t="s">
        <v>0</v>
      </c>
      <c r="K76" s="180" t="s">
        <v>0</v>
      </c>
      <c r="L76" s="180" t="s">
        <v>0</v>
      </c>
    </row>
    <row r="77" spans="1:12" outlineLevel="1" x14ac:dyDescent="0.2">
      <c r="B77" s="163" t="s">
        <v>42</v>
      </c>
      <c r="C77" s="180" t="s">
        <v>0</v>
      </c>
      <c r="D77" s="178">
        <v>10021</v>
      </c>
      <c r="E77" s="178">
        <v>7221</v>
      </c>
      <c r="F77" s="178">
        <v>6851</v>
      </c>
      <c r="G77" s="178">
        <v>6102</v>
      </c>
      <c r="H77" s="53">
        <f t="shared" si="15"/>
        <v>7548.75</v>
      </c>
      <c r="I77" s="53">
        <f t="shared" si="16"/>
        <v>7548.75</v>
      </c>
      <c r="J77" s="53">
        <f t="shared" si="17"/>
        <v>7054.3</v>
      </c>
      <c r="K77" s="53">
        <f t="shared" si="18"/>
        <v>7020.9600000000009</v>
      </c>
      <c r="L77" s="53">
        <f t="shared" si="19"/>
        <v>7054.9520000000002</v>
      </c>
    </row>
    <row r="78" spans="1:12" outlineLevel="1" x14ac:dyDescent="0.2">
      <c r="B78" s="163" t="s">
        <v>41</v>
      </c>
      <c r="C78" s="180" t="s">
        <v>0</v>
      </c>
      <c r="D78" s="178">
        <v>383</v>
      </c>
      <c r="E78" s="178">
        <v>793</v>
      </c>
      <c r="F78" s="178">
        <v>938</v>
      </c>
      <c r="G78" s="178">
        <v>692</v>
      </c>
      <c r="H78" s="53">
        <f t="shared" si="15"/>
        <v>701.5</v>
      </c>
      <c r="I78" s="53">
        <f t="shared" si="16"/>
        <v>701.5</v>
      </c>
      <c r="J78" s="53">
        <f t="shared" si="17"/>
        <v>765.2</v>
      </c>
      <c r="K78" s="53">
        <f t="shared" si="18"/>
        <v>759.64</v>
      </c>
      <c r="L78" s="53">
        <f t="shared" si="19"/>
        <v>723.96799999999996</v>
      </c>
    </row>
    <row r="79" spans="1:12" outlineLevel="1" x14ac:dyDescent="0.2">
      <c r="B79" s="164" t="s">
        <v>52</v>
      </c>
      <c r="C79" s="178">
        <v>1733</v>
      </c>
      <c r="D79" s="178">
        <v>695</v>
      </c>
      <c r="E79" s="178">
        <v>1002</v>
      </c>
      <c r="F79" s="178">
        <v>817</v>
      </c>
      <c r="G79" s="178">
        <v>640</v>
      </c>
      <c r="H79" s="53">
        <f t="shared" si="15"/>
        <v>977.4</v>
      </c>
      <c r="I79" s="53">
        <f t="shared" si="16"/>
        <v>826.28</v>
      </c>
      <c r="J79" s="53">
        <f t="shared" si="17"/>
        <v>852.53600000000006</v>
      </c>
      <c r="K79" s="53">
        <f t="shared" si="18"/>
        <v>822.64320000000009</v>
      </c>
      <c r="L79" s="53">
        <f t="shared" si="19"/>
        <v>823.77184000000011</v>
      </c>
    </row>
    <row r="80" spans="1:12" outlineLevel="1" x14ac:dyDescent="0.2">
      <c r="B80" s="163" t="s">
        <v>187</v>
      </c>
      <c r="C80" s="178">
        <v>1619</v>
      </c>
      <c r="D80" s="178">
        <v>1812</v>
      </c>
      <c r="E80" s="178">
        <v>1649</v>
      </c>
      <c r="F80" s="178">
        <v>1552</v>
      </c>
      <c r="G80" s="178">
        <v>1161</v>
      </c>
      <c r="H80" s="53">
        <f t="shared" si="15"/>
        <v>1558.6</v>
      </c>
      <c r="I80" s="53">
        <f t="shared" si="16"/>
        <v>1546.52</v>
      </c>
      <c r="J80" s="53">
        <f t="shared" si="17"/>
        <v>1493.4240000000002</v>
      </c>
      <c r="K80" s="53">
        <f t="shared" si="18"/>
        <v>1462.3088000000002</v>
      </c>
      <c r="L80" s="53">
        <f t="shared" si="19"/>
        <v>1444.3705600000001</v>
      </c>
    </row>
    <row r="81" spans="2:12" outlineLevel="1" x14ac:dyDescent="0.2">
      <c r="B81" s="163" t="s">
        <v>188</v>
      </c>
      <c r="C81" s="178">
        <v>1896</v>
      </c>
      <c r="D81" s="178">
        <v>1018</v>
      </c>
      <c r="E81" s="178">
        <v>1097</v>
      </c>
      <c r="F81" s="178">
        <v>967</v>
      </c>
      <c r="G81" s="178">
        <v>998</v>
      </c>
      <c r="H81" s="53">
        <f t="shared" si="15"/>
        <v>1195.2</v>
      </c>
      <c r="I81" s="53">
        <f t="shared" si="16"/>
        <v>1055.04</v>
      </c>
      <c r="J81" s="53">
        <f t="shared" si="17"/>
        <v>1062.4479999999999</v>
      </c>
      <c r="K81" s="53">
        <f t="shared" si="18"/>
        <v>1055.5376000000001</v>
      </c>
      <c r="L81" s="53">
        <f t="shared" si="19"/>
        <v>1073.24512</v>
      </c>
    </row>
    <row r="82" spans="2:12" outlineLevel="1" x14ac:dyDescent="0.2">
      <c r="B82" s="163" t="s">
        <v>189</v>
      </c>
      <c r="C82" s="178">
        <v>2101</v>
      </c>
      <c r="D82" s="178">
        <v>2089</v>
      </c>
      <c r="E82" s="178">
        <v>3157</v>
      </c>
      <c r="F82" s="178">
        <v>2611</v>
      </c>
      <c r="G82" s="178">
        <v>2639</v>
      </c>
      <c r="H82" s="53">
        <f t="shared" si="15"/>
        <v>2519.4</v>
      </c>
      <c r="I82" s="53">
        <f t="shared" si="16"/>
        <v>2603.08</v>
      </c>
      <c r="J82" s="53">
        <f t="shared" si="17"/>
        <v>2705.8959999999997</v>
      </c>
      <c r="K82" s="53">
        <f t="shared" si="18"/>
        <v>2615.6752000000001</v>
      </c>
      <c r="L82" s="53">
        <f t="shared" si="19"/>
        <v>2616.61024</v>
      </c>
    </row>
    <row r="83" spans="2:12" outlineLevel="1" x14ac:dyDescent="0.2">
      <c r="B83" s="163" t="s">
        <v>44</v>
      </c>
      <c r="C83" s="180" t="s">
        <v>0</v>
      </c>
      <c r="D83" s="178">
        <v>2618</v>
      </c>
      <c r="E83" s="180" t="s">
        <v>0</v>
      </c>
      <c r="F83" s="180" t="s">
        <v>0</v>
      </c>
      <c r="G83" s="180" t="s">
        <v>0</v>
      </c>
      <c r="H83" s="180" t="s">
        <v>0</v>
      </c>
      <c r="I83" s="180" t="s">
        <v>0</v>
      </c>
      <c r="J83" s="180" t="s">
        <v>0</v>
      </c>
      <c r="K83" s="180" t="s">
        <v>0</v>
      </c>
      <c r="L83" s="180" t="s">
        <v>0</v>
      </c>
    </row>
    <row r="84" spans="2:12" outlineLevel="1" x14ac:dyDescent="0.2">
      <c r="B84" s="156" t="s">
        <v>190</v>
      </c>
      <c r="C84" s="56">
        <f>SUM(C72:C83)</f>
        <v>38420</v>
      </c>
      <c r="D84" s="56">
        <f t="shared" ref="D84:L84" si="20">SUM(D72:D83)</f>
        <v>39165</v>
      </c>
      <c r="E84" s="56">
        <f t="shared" si="20"/>
        <v>29539</v>
      </c>
      <c r="F84" s="56">
        <f t="shared" si="20"/>
        <v>29118</v>
      </c>
      <c r="G84" s="56">
        <f t="shared" si="20"/>
        <v>32909</v>
      </c>
      <c r="H84" s="56">
        <f t="shared" si="20"/>
        <v>31828.621777649063</v>
      </c>
      <c r="I84" s="56">
        <f t="shared" si="20"/>
        <v>32783.84326551907</v>
      </c>
      <c r="J84" s="56">
        <f t="shared" si="20"/>
        <v>33220.501114286948</v>
      </c>
      <c r="K84" s="56">
        <f t="shared" si="20"/>
        <v>33390.646276960171</v>
      </c>
      <c r="L84" s="56">
        <f t="shared" si="20"/>
        <v>33278.427241833975</v>
      </c>
    </row>
    <row r="85" spans="2:12" outlineLevel="1" x14ac:dyDescent="0.2">
      <c r="B85" s="17" t="s">
        <v>191</v>
      </c>
      <c r="C85" s="178">
        <v>32028</v>
      </c>
      <c r="D85" s="178">
        <v>20100</v>
      </c>
      <c r="E85" s="178">
        <v>20085</v>
      </c>
      <c r="F85" s="178">
        <v>18695</v>
      </c>
      <c r="G85" s="178">
        <v>18122</v>
      </c>
      <c r="H85" s="53">
        <f>AVERAGE(C85:G85)</f>
        <v>21806</v>
      </c>
      <c r="I85" s="53">
        <f>AVERAGE(D85:H85)</f>
        <v>19761.599999999999</v>
      </c>
      <c r="J85" s="53">
        <f>AVERAGE(E85:I85)</f>
        <v>19693.920000000002</v>
      </c>
      <c r="K85" s="53">
        <f>AVERAGE(F85:J85)</f>
        <v>19615.704000000002</v>
      </c>
      <c r="L85" s="53">
        <f>AVERAGE(G85:K85)</f>
        <v>19799.844799999999</v>
      </c>
    </row>
    <row r="86" spans="2:12" outlineLevel="1" x14ac:dyDescent="0.2">
      <c r="B86" s="163" t="s">
        <v>192</v>
      </c>
      <c r="C86" s="178">
        <v>-22018</v>
      </c>
      <c r="D86" s="178">
        <v>-13895</v>
      </c>
      <c r="E86" s="178">
        <v>-14391</v>
      </c>
      <c r="F86" s="178">
        <v>-13361</v>
      </c>
      <c r="G86" s="178">
        <v>-12621</v>
      </c>
      <c r="H86" s="53">
        <f>AVERAGE(C86:G86)</f>
        <v>-15257.2</v>
      </c>
      <c r="I86" s="53">
        <f t="shared" ref="I86:L95" si="21">AVERAGE(D86:H86)</f>
        <v>-13905.039999999999</v>
      </c>
      <c r="J86" s="53">
        <f t="shared" si="21"/>
        <v>-13907.047999999999</v>
      </c>
      <c r="K86" s="53">
        <f t="shared" si="21"/>
        <v>-13810.257600000001</v>
      </c>
      <c r="L86" s="53">
        <f t="shared" si="21"/>
        <v>-13900.109119999999</v>
      </c>
    </row>
    <row r="87" spans="2:12" outlineLevel="1" x14ac:dyDescent="0.2">
      <c r="B87" s="17" t="s">
        <v>193</v>
      </c>
      <c r="C87" s="53">
        <f>SUM(C85:C86)</f>
        <v>10010</v>
      </c>
      <c r="D87" s="53">
        <f t="shared" ref="D87:L87" si="22">SUM(D85:D86)</f>
        <v>6205</v>
      </c>
      <c r="E87" s="53">
        <f t="shared" si="22"/>
        <v>5694</v>
      </c>
      <c r="F87" s="53">
        <f t="shared" si="22"/>
        <v>5334</v>
      </c>
      <c r="G87" s="53">
        <f t="shared" si="22"/>
        <v>5501</v>
      </c>
      <c r="H87" s="53">
        <f t="shared" si="22"/>
        <v>6548.7999999999993</v>
      </c>
      <c r="I87" s="53">
        <f t="shared" si="22"/>
        <v>5856.5599999999995</v>
      </c>
      <c r="J87" s="53">
        <f t="shared" si="22"/>
        <v>5786.872000000003</v>
      </c>
      <c r="K87" s="53">
        <f t="shared" si="22"/>
        <v>5805.4464000000007</v>
      </c>
      <c r="L87" s="53">
        <f t="shared" si="22"/>
        <v>5899.7356799999998</v>
      </c>
    </row>
    <row r="88" spans="2:12" outlineLevel="1" x14ac:dyDescent="0.2">
      <c r="B88" s="18" t="s">
        <v>40</v>
      </c>
      <c r="C88" s="178">
        <v>4995</v>
      </c>
      <c r="D88" s="178">
        <v>3566</v>
      </c>
      <c r="E88" s="178">
        <v>3222</v>
      </c>
      <c r="F88" s="178">
        <v>2878</v>
      </c>
      <c r="G88" s="178">
        <v>3220</v>
      </c>
      <c r="H88" s="53">
        <f t="shared" ref="H88:H95" si="23">AVERAGE(C88:G88)</f>
        <v>3576.2</v>
      </c>
      <c r="I88" s="53">
        <f t="shared" si="21"/>
        <v>3292.44</v>
      </c>
      <c r="J88" s="53">
        <f t="shared" si="21"/>
        <v>3237.7280000000001</v>
      </c>
      <c r="K88" s="53">
        <f t="shared" si="21"/>
        <v>3240.8736000000004</v>
      </c>
      <c r="L88" s="53">
        <f t="shared" si="21"/>
        <v>3313.4483199999995</v>
      </c>
    </row>
    <row r="89" spans="2:12" outlineLevel="1" x14ac:dyDescent="0.2">
      <c r="B89" s="19" t="s">
        <v>56</v>
      </c>
      <c r="C89" s="178">
        <v>8712</v>
      </c>
      <c r="D89" s="178">
        <v>7086</v>
      </c>
      <c r="E89" s="178">
        <v>5425</v>
      </c>
      <c r="F89" s="178">
        <v>5806</v>
      </c>
      <c r="G89" s="178">
        <v>5766</v>
      </c>
      <c r="H89" s="53">
        <f t="shared" si="23"/>
        <v>6559</v>
      </c>
      <c r="I89" s="53">
        <f t="shared" si="21"/>
        <v>6128.4</v>
      </c>
      <c r="J89" s="53">
        <f t="shared" si="21"/>
        <v>5936.88</v>
      </c>
      <c r="K89" s="53">
        <f t="shared" si="21"/>
        <v>6039.2560000000003</v>
      </c>
      <c r="L89" s="53">
        <f t="shared" si="21"/>
        <v>6085.9072000000006</v>
      </c>
    </row>
    <row r="90" spans="2:12" outlineLevel="1" x14ac:dyDescent="0.2">
      <c r="B90" s="17" t="s">
        <v>194</v>
      </c>
      <c r="C90" s="178">
        <v>6865</v>
      </c>
      <c r="D90" s="178">
        <v>7557</v>
      </c>
      <c r="E90" s="178">
        <v>9850</v>
      </c>
      <c r="F90" s="178">
        <v>8236</v>
      </c>
      <c r="G90" s="178">
        <v>7506</v>
      </c>
      <c r="H90" s="53">
        <f t="shared" si="23"/>
        <v>8002.8</v>
      </c>
      <c r="I90" s="53">
        <f t="shared" si="21"/>
        <v>8230.36</v>
      </c>
      <c r="J90" s="53">
        <v>6380</v>
      </c>
      <c r="K90" s="53">
        <v>6252</v>
      </c>
      <c r="L90" s="53">
        <v>6822</v>
      </c>
    </row>
    <row r="91" spans="2:12" outlineLevel="1" x14ac:dyDescent="0.2">
      <c r="B91" s="17" t="s">
        <v>188</v>
      </c>
      <c r="C91" s="178">
        <v>2472</v>
      </c>
      <c r="D91" s="178">
        <v>1150</v>
      </c>
      <c r="E91" s="178">
        <v>924</v>
      </c>
      <c r="F91" s="178">
        <v>865</v>
      </c>
      <c r="G91" s="178">
        <v>842</v>
      </c>
      <c r="H91" s="53">
        <f t="shared" si="23"/>
        <v>1250.5999999999999</v>
      </c>
      <c r="I91" s="53">
        <f t="shared" si="21"/>
        <v>1006.32</v>
      </c>
      <c r="J91" s="53">
        <f t="shared" si="21"/>
        <v>977.58400000000006</v>
      </c>
      <c r="K91" s="53">
        <f t="shared" si="21"/>
        <v>988.30079999999998</v>
      </c>
      <c r="L91" s="53">
        <f t="shared" si="21"/>
        <v>1012.96096</v>
      </c>
    </row>
    <row r="92" spans="2:12" outlineLevel="1" x14ac:dyDescent="0.2">
      <c r="B92" s="17" t="s">
        <v>195</v>
      </c>
      <c r="C92" s="178">
        <v>5182</v>
      </c>
      <c r="D92" s="178">
        <v>8404</v>
      </c>
      <c r="E92" s="178">
        <v>7370</v>
      </c>
      <c r="F92" s="178">
        <v>6256</v>
      </c>
      <c r="G92" s="178">
        <v>6656</v>
      </c>
      <c r="H92" s="53">
        <f t="shared" si="23"/>
        <v>6773.6</v>
      </c>
      <c r="I92" s="53">
        <f t="shared" si="21"/>
        <v>7091.92</v>
      </c>
      <c r="J92" s="53">
        <f t="shared" si="21"/>
        <v>6829.503999999999</v>
      </c>
      <c r="K92" s="53">
        <f t="shared" si="21"/>
        <v>6721.4047999999993</v>
      </c>
      <c r="L92" s="53">
        <f t="shared" si="21"/>
        <v>6814.4857599999987</v>
      </c>
    </row>
    <row r="93" spans="2:12" outlineLevel="1" x14ac:dyDescent="0.2">
      <c r="B93" s="17" t="s">
        <v>196</v>
      </c>
      <c r="C93" s="178">
        <v>58222</v>
      </c>
      <c r="D93" s="178">
        <v>53765</v>
      </c>
      <c r="E93" s="178">
        <v>55643</v>
      </c>
      <c r="F93" s="178">
        <v>55949</v>
      </c>
      <c r="G93" s="178">
        <v>60178</v>
      </c>
      <c r="H93" s="53">
        <f t="shared" si="23"/>
        <v>56751.4</v>
      </c>
      <c r="I93" s="53">
        <f t="shared" si="21"/>
        <v>56457.280000000006</v>
      </c>
      <c r="J93" s="53">
        <f t="shared" si="21"/>
        <v>56995.735999999997</v>
      </c>
      <c r="K93" s="53">
        <f t="shared" si="21"/>
        <v>57266.283199999991</v>
      </c>
      <c r="L93" s="53">
        <f t="shared" si="21"/>
        <v>57529.739839999995</v>
      </c>
    </row>
    <row r="94" spans="2:12" outlineLevel="1" x14ac:dyDescent="0.2">
      <c r="B94" s="17" t="s">
        <v>197</v>
      </c>
      <c r="C94" s="178">
        <v>15235</v>
      </c>
      <c r="D94" s="178">
        <v>13739</v>
      </c>
      <c r="E94" s="178">
        <v>12511</v>
      </c>
      <c r="F94" s="178">
        <v>11184</v>
      </c>
      <c r="G94" s="178">
        <v>11036</v>
      </c>
      <c r="H94" s="53">
        <f t="shared" si="23"/>
        <v>12741</v>
      </c>
      <c r="I94" s="53">
        <f t="shared" si="21"/>
        <v>12242.2</v>
      </c>
      <c r="J94" s="53">
        <f t="shared" si="21"/>
        <v>11942.84</v>
      </c>
      <c r="K94" s="53">
        <f t="shared" si="21"/>
        <v>11829.207999999999</v>
      </c>
      <c r="L94" s="53">
        <f t="shared" si="21"/>
        <v>11958.249599999999</v>
      </c>
    </row>
    <row r="95" spans="2:12" outlineLevel="1" x14ac:dyDescent="0.2">
      <c r="B95" s="17" t="s">
        <v>198</v>
      </c>
      <c r="C95" s="178">
        <v>2074</v>
      </c>
      <c r="D95" s="178">
        <v>2187</v>
      </c>
      <c r="E95" s="178">
        <v>1823</v>
      </c>
      <c r="F95" s="178">
        <v>1617</v>
      </c>
      <c r="G95" s="178">
        <v>1626</v>
      </c>
      <c r="H95" s="53">
        <f t="shared" si="23"/>
        <v>1865.4</v>
      </c>
      <c r="I95" s="53">
        <f t="shared" si="21"/>
        <v>1823.6799999999998</v>
      </c>
      <c r="J95" s="53">
        <f t="shared" si="21"/>
        <v>1751.0160000000001</v>
      </c>
      <c r="K95" s="53">
        <f t="shared" si="21"/>
        <v>1736.6191999999999</v>
      </c>
      <c r="L95" s="53">
        <f t="shared" si="21"/>
        <v>1760.5430399999998</v>
      </c>
    </row>
    <row r="96" spans="2:12" outlineLevel="1" x14ac:dyDescent="0.2">
      <c r="B96" s="17" t="s">
        <v>45</v>
      </c>
      <c r="C96" s="180" t="s">
        <v>0</v>
      </c>
      <c r="D96" s="178">
        <v>13147</v>
      </c>
      <c r="E96" s="180" t="s">
        <v>0</v>
      </c>
      <c r="F96" s="180" t="s">
        <v>0</v>
      </c>
      <c r="G96" s="180" t="s">
        <v>0</v>
      </c>
      <c r="H96" s="180" t="s">
        <v>0</v>
      </c>
      <c r="I96" s="180" t="s">
        <v>0</v>
      </c>
      <c r="J96" s="180" t="s">
        <v>0</v>
      </c>
      <c r="K96" s="180" t="s">
        <v>0</v>
      </c>
      <c r="L96" s="180" t="s">
        <v>0</v>
      </c>
    </row>
    <row r="97" spans="2:12" ht="15.75" outlineLevel="1" thickBot="1" x14ac:dyDescent="0.25">
      <c r="B97" s="156" t="s">
        <v>63</v>
      </c>
      <c r="C97" s="56">
        <f>SUM(C87:C96)</f>
        <v>113767</v>
      </c>
      <c r="D97" s="56">
        <f t="shared" ref="D97:L97" si="24">SUM(D87:D96)</f>
        <v>116806</v>
      </c>
      <c r="E97" s="56">
        <f t="shared" si="24"/>
        <v>102462</v>
      </c>
      <c r="F97" s="56">
        <f t="shared" si="24"/>
        <v>98125</v>
      </c>
      <c r="G97" s="56">
        <f t="shared" si="24"/>
        <v>102331</v>
      </c>
      <c r="H97" s="56">
        <f t="shared" si="24"/>
        <v>104068.79999999999</v>
      </c>
      <c r="I97" s="56">
        <f t="shared" si="24"/>
        <v>102129.15999999999</v>
      </c>
      <c r="J97" s="56">
        <f t="shared" si="24"/>
        <v>99838.16</v>
      </c>
      <c r="K97" s="56">
        <f t="shared" si="24"/>
        <v>99879.391999999993</v>
      </c>
      <c r="L97" s="56">
        <f t="shared" si="24"/>
        <v>101197.0704</v>
      </c>
    </row>
    <row r="98" spans="2:12" ht="15.75" outlineLevel="1" thickBot="1" x14ac:dyDescent="0.25">
      <c r="B98" s="158" t="s">
        <v>199</v>
      </c>
      <c r="C98" s="62">
        <f>C84+C97</f>
        <v>152187</v>
      </c>
      <c r="D98" s="62">
        <f t="shared" ref="D98:L98" si="25">D84+D97</f>
        <v>155971</v>
      </c>
      <c r="E98" s="62">
        <f>E84+E97</f>
        <v>132001</v>
      </c>
      <c r="F98" s="62">
        <f t="shared" si="25"/>
        <v>127243</v>
      </c>
      <c r="G98" s="62">
        <f t="shared" si="25"/>
        <v>135240</v>
      </c>
      <c r="H98" s="62">
        <f t="shared" si="25"/>
        <v>135897.42177764906</v>
      </c>
      <c r="I98" s="62">
        <f t="shared" si="25"/>
        <v>134913.00326551904</v>
      </c>
      <c r="J98" s="62">
        <f t="shared" si="25"/>
        <v>133058.66111428695</v>
      </c>
      <c r="K98" s="62">
        <f t="shared" si="25"/>
        <v>133270.03827696017</v>
      </c>
      <c r="L98" s="62">
        <f t="shared" si="25"/>
        <v>134475.49764183396</v>
      </c>
    </row>
    <row r="99" spans="2:12" outlineLevel="1" x14ac:dyDescent="0.2">
      <c r="B99" s="15"/>
      <c r="C99" s="181"/>
      <c r="D99" s="181"/>
      <c r="E99" s="181"/>
      <c r="F99" s="181"/>
      <c r="G99" s="181"/>
      <c r="H99" s="181"/>
      <c r="I99" s="181"/>
      <c r="J99" s="181"/>
      <c r="K99" s="181"/>
      <c r="L99" s="181"/>
    </row>
    <row r="100" spans="2:12" outlineLevel="1" x14ac:dyDescent="0.2">
      <c r="B100" s="13" t="s">
        <v>54</v>
      </c>
      <c r="C100" s="53"/>
      <c r="D100" s="53"/>
      <c r="E100" s="53"/>
      <c r="F100" s="53"/>
      <c r="G100" s="53"/>
      <c r="H100" s="53"/>
      <c r="I100" s="53"/>
      <c r="J100" s="53"/>
      <c r="K100" s="53"/>
      <c r="L100" s="53"/>
    </row>
    <row r="101" spans="2:12" outlineLevel="1" x14ac:dyDescent="0.2">
      <c r="B101" s="14" t="s">
        <v>53</v>
      </c>
      <c r="C101" s="53"/>
      <c r="D101" s="53"/>
      <c r="E101" s="53"/>
      <c r="F101" s="53"/>
      <c r="G101" s="53"/>
      <c r="H101" s="53"/>
      <c r="I101" s="53"/>
      <c r="J101" s="53"/>
      <c r="K101" s="53"/>
      <c r="L101" s="53"/>
    </row>
    <row r="102" spans="2:12" outlineLevel="1" x14ac:dyDescent="0.2">
      <c r="B102" s="163" t="s">
        <v>200</v>
      </c>
      <c r="C102" s="178">
        <v>2839</v>
      </c>
      <c r="D102" s="178">
        <v>3198</v>
      </c>
      <c r="E102" s="178">
        <v>2289</v>
      </c>
      <c r="F102" s="178">
        <v>2196</v>
      </c>
      <c r="G102" s="178">
        <v>2270</v>
      </c>
      <c r="H102" s="53">
        <f>AVERAGE(C102:G102)</f>
        <v>2558.4</v>
      </c>
      <c r="I102" s="53">
        <f>AVERAGE(D102:H102)</f>
        <v>2502.2799999999997</v>
      </c>
      <c r="J102" s="53">
        <f>AVERAGE(E102:I102)</f>
        <v>2363.136</v>
      </c>
      <c r="K102" s="53">
        <f>AVERAGE(F102:J102)</f>
        <v>2377.9632000000001</v>
      </c>
      <c r="L102" s="53">
        <f>AVERAGE(G102:K102)</f>
        <v>2414.3558399999997</v>
      </c>
    </row>
    <row r="103" spans="2:12" outlineLevel="1" x14ac:dyDescent="0.2">
      <c r="B103" s="163" t="s">
        <v>201</v>
      </c>
      <c r="C103" s="178">
        <v>8797</v>
      </c>
      <c r="D103" s="178">
        <v>7116</v>
      </c>
      <c r="E103" s="178">
        <v>6787</v>
      </c>
      <c r="F103" s="178">
        <v>4760</v>
      </c>
      <c r="G103" s="178">
        <v>6426</v>
      </c>
      <c r="H103" s="53">
        <f t="shared" ref="H103:H108" si="26">AVERAGE(C103:G103)</f>
        <v>6777.2</v>
      </c>
      <c r="I103" s="53">
        <f t="shared" ref="I103:I108" si="27">AVERAGE(D103:H103)</f>
        <v>6373.24</v>
      </c>
      <c r="J103" s="53">
        <f t="shared" ref="J103:J108" si="28">AVERAGE(E103:I103)</f>
        <v>6224.6880000000001</v>
      </c>
      <c r="K103" s="53">
        <f t="shared" ref="K103:K108" si="29">AVERAGE(F103:J103)</f>
        <v>6112.2256000000007</v>
      </c>
      <c r="L103" s="53">
        <f t="shared" ref="L103:L108" si="30">AVERAGE(G103:K103)</f>
        <v>6382.670720000001</v>
      </c>
    </row>
    <row r="104" spans="2:12" outlineLevel="1" x14ac:dyDescent="0.2">
      <c r="B104" s="163" t="s">
        <v>202</v>
      </c>
      <c r="C104" s="178">
        <v>4896</v>
      </c>
      <c r="D104" s="178">
        <v>4033</v>
      </c>
      <c r="E104" s="178">
        <v>3955</v>
      </c>
      <c r="F104" s="178">
        <v>4051</v>
      </c>
      <c r="G104" s="178">
        <v>4132</v>
      </c>
      <c r="H104" s="53">
        <f t="shared" si="26"/>
        <v>4213.3999999999996</v>
      </c>
      <c r="I104" s="53">
        <f t="shared" si="27"/>
        <v>4076.88</v>
      </c>
      <c r="J104" s="53">
        <f t="shared" si="28"/>
        <v>4085.6559999999999</v>
      </c>
      <c r="K104" s="53">
        <f t="shared" si="29"/>
        <v>4111.7871999999998</v>
      </c>
      <c r="L104" s="53">
        <f t="shared" si="30"/>
        <v>4123.9446399999997</v>
      </c>
    </row>
    <row r="105" spans="2:12" outlineLevel="1" x14ac:dyDescent="0.2">
      <c r="B105" s="163" t="s">
        <v>203</v>
      </c>
      <c r="C105" s="178">
        <v>3406</v>
      </c>
      <c r="D105" s="178">
        <v>3056</v>
      </c>
      <c r="E105" s="178">
        <v>3204</v>
      </c>
      <c r="F105" s="178">
        <v>3481</v>
      </c>
      <c r="G105" s="178">
        <v>3501</v>
      </c>
      <c r="H105" s="53">
        <f t="shared" si="26"/>
        <v>3329.6</v>
      </c>
      <c r="I105" s="53">
        <f t="shared" si="27"/>
        <v>3314.3199999999997</v>
      </c>
      <c r="J105" s="53">
        <f t="shared" si="28"/>
        <v>3365.9839999999995</v>
      </c>
      <c r="K105" s="53">
        <f t="shared" si="29"/>
        <v>3398.3807999999999</v>
      </c>
      <c r="L105" s="53">
        <f t="shared" si="30"/>
        <v>3381.8569599999996</v>
      </c>
    </row>
    <row r="106" spans="2:12" outlineLevel="1" x14ac:dyDescent="0.2">
      <c r="B106" s="163" t="s">
        <v>204</v>
      </c>
      <c r="C106" s="178">
        <v>12026</v>
      </c>
      <c r="D106" s="178">
        <v>11980</v>
      </c>
      <c r="E106" s="178">
        <v>12518</v>
      </c>
      <c r="F106" s="178">
        <v>12032</v>
      </c>
      <c r="G106" s="178">
        <v>13451</v>
      </c>
      <c r="H106" s="53">
        <f t="shared" si="26"/>
        <v>12401.4</v>
      </c>
      <c r="I106" s="53">
        <f t="shared" si="27"/>
        <v>12476.48</v>
      </c>
      <c r="J106" s="53">
        <f t="shared" si="28"/>
        <v>12575.776000000002</v>
      </c>
      <c r="K106" s="53">
        <f t="shared" si="29"/>
        <v>12587.331200000001</v>
      </c>
      <c r="L106" s="53">
        <f t="shared" si="30"/>
        <v>12698.397440000001</v>
      </c>
    </row>
    <row r="107" spans="2:12" outlineLevel="1" x14ac:dyDescent="0.2">
      <c r="B107" s="165" t="s">
        <v>39</v>
      </c>
      <c r="C107" s="178">
        <v>1380</v>
      </c>
      <c r="D107" s="178">
        <v>1035</v>
      </c>
      <c r="E107" s="178">
        <v>974</v>
      </c>
      <c r="F107" s="178">
        <v>874</v>
      </c>
      <c r="G107" s="178">
        <v>820</v>
      </c>
      <c r="H107" s="53">
        <f t="shared" si="26"/>
        <v>1016.6</v>
      </c>
      <c r="I107" s="53">
        <f t="shared" si="27"/>
        <v>943.92000000000007</v>
      </c>
      <c r="J107" s="53">
        <f t="shared" si="28"/>
        <v>925.70400000000006</v>
      </c>
      <c r="K107" s="53">
        <f t="shared" si="29"/>
        <v>916.04480000000001</v>
      </c>
      <c r="L107" s="53">
        <f t="shared" si="30"/>
        <v>924.45375999999999</v>
      </c>
    </row>
    <row r="108" spans="2:12" outlineLevel="1" x14ac:dyDescent="0.2">
      <c r="B108" s="163" t="s">
        <v>205</v>
      </c>
      <c r="C108" s="178">
        <v>4358</v>
      </c>
      <c r="D108" s="178">
        <v>5632</v>
      </c>
      <c r="E108" s="178">
        <v>3892</v>
      </c>
      <c r="F108" s="178">
        <v>4111</v>
      </c>
      <c r="G108" s="178">
        <v>3521</v>
      </c>
      <c r="H108" s="53">
        <f t="shared" si="26"/>
        <v>4302.8</v>
      </c>
      <c r="I108" s="53">
        <f t="shared" si="27"/>
        <v>4291.76</v>
      </c>
      <c r="J108" s="53">
        <f t="shared" si="28"/>
        <v>4023.7119999999995</v>
      </c>
      <c r="K108" s="53">
        <f t="shared" si="29"/>
        <v>4050.0543999999995</v>
      </c>
      <c r="L108" s="53">
        <f t="shared" si="30"/>
        <v>4037.8652800000004</v>
      </c>
    </row>
    <row r="109" spans="2:12" outlineLevel="1" x14ac:dyDescent="0.2">
      <c r="B109" s="165" t="s">
        <v>206</v>
      </c>
      <c r="C109" s="180" t="s">
        <v>0</v>
      </c>
      <c r="D109" s="178">
        <v>3819</v>
      </c>
      <c r="E109" s="180" t="s">
        <v>0</v>
      </c>
      <c r="F109" s="180" t="s">
        <v>0</v>
      </c>
      <c r="G109" s="180" t="s">
        <v>0</v>
      </c>
      <c r="H109" s="180" t="s">
        <v>0</v>
      </c>
      <c r="I109" s="180" t="s">
        <v>0</v>
      </c>
      <c r="J109" s="180" t="s">
        <v>0</v>
      </c>
      <c r="K109" s="180" t="s">
        <v>0</v>
      </c>
      <c r="L109" s="180" t="s">
        <v>0</v>
      </c>
    </row>
    <row r="110" spans="2:12" outlineLevel="1" x14ac:dyDescent="0.2">
      <c r="B110" s="156" t="s">
        <v>207</v>
      </c>
      <c r="C110" s="56">
        <f>SUM(C102:C109)</f>
        <v>37702</v>
      </c>
      <c r="D110" s="56">
        <f t="shared" ref="D110:L110" si="31">SUM(D102:D109)</f>
        <v>39869</v>
      </c>
      <c r="E110" s="56">
        <f t="shared" si="31"/>
        <v>33619</v>
      </c>
      <c r="F110" s="56">
        <f t="shared" si="31"/>
        <v>31505</v>
      </c>
      <c r="G110" s="56">
        <f t="shared" si="31"/>
        <v>34121</v>
      </c>
      <c r="H110" s="56">
        <f t="shared" si="31"/>
        <v>34599.4</v>
      </c>
      <c r="I110" s="56">
        <f t="shared" si="31"/>
        <v>33978.880000000005</v>
      </c>
      <c r="J110" s="56">
        <f t="shared" si="31"/>
        <v>33564.656000000003</v>
      </c>
      <c r="K110" s="56">
        <f t="shared" si="31"/>
        <v>33553.787199999999</v>
      </c>
      <c r="L110" s="56">
        <f t="shared" si="31"/>
        <v>33963.54464</v>
      </c>
    </row>
    <row r="111" spans="2:12" outlineLevel="1" x14ac:dyDescent="0.2">
      <c r="B111" s="17" t="s">
        <v>208</v>
      </c>
      <c r="C111" s="178">
        <v>54102</v>
      </c>
      <c r="D111" s="178">
        <v>54217</v>
      </c>
      <c r="E111" s="178">
        <v>44917</v>
      </c>
      <c r="F111" s="178">
        <v>46189</v>
      </c>
      <c r="G111" s="178">
        <v>50121</v>
      </c>
      <c r="H111" s="53">
        <f>AVERAGE(C111:G111)</f>
        <v>49909.2</v>
      </c>
      <c r="I111" s="53">
        <f>AVERAGE(D111:H111)</f>
        <v>49070.64</v>
      </c>
      <c r="J111" s="53">
        <f>AVERAGE(E111:I111)</f>
        <v>48041.368000000002</v>
      </c>
      <c r="K111" s="53">
        <f>AVERAGE(F111:J111)</f>
        <v>48666.241600000008</v>
      </c>
      <c r="L111" s="53">
        <f>AVERAGE(G111:K111)</f>
        <v>49161.689919999997</v>
      </c>
    </row>
    <row r="112" spans="2:12" ht="30" outlineLevel="1" x14ac:dyDescent="0.2">
      <c r="B112" s="17" t="s">
        <v>209</v>
      </c>
      <c r="C112" s="178">
        <v>17142</v>
      </c>
      <c r="D112" s="178">
        <v>17184</v>
      </c>
      <c r="E112" s="178">
        <v>14435</v>
      </c>
      <c r="F112" s="178">
        <v>9596</v>
      </c>
      <c r="G112" s="178">
        <v>10808</v>
      </c>
      <c r="H112" s="53">
        <v>10629</v>
      </c>
      <c r="I112" s="53">
        <f t="shared" ref="I112:L115" si="32">AVERAGE(D112:H112)</f>
        <v>12530.4</v>
      </c>
      <c r="J112" s="53">
        <f t="shared" si="32"/>
        <v>11599.68</v>
      </c>
      <c r="K112" s="53">
        <f t="shared" si="32"/>
        <v>11032.616</v>
      </c>
      <c r="L112" s="53">
        <f t="shared" si="32"/>
        <v>11319.939200000001</v>
      </c>
    </row>
    <row r="113" spans="2:12" outlineLevel="1" x14ac:dyDescent="0.2">
      <c r="B113" s="17" t="s">
        <v>204</v>
      </c>
      <c r="C113" s="178">
        <v>3851</v>
      </c>
      <c r="D113" s="178">
        <v>3758</v>
      </c>
      <c r="E113" s="178">
        <v>3577</v>
      </c>
      <c r="F113" s="178">
        <v>3499</v>
      </c>
      <c r="G113" s="178">
        <v>3533</v>
      </c>
      <c r="H113" s="53">
        <f>AVERAGE(C113:G113)</f>
        <v>3643.6</v>
      </c>
      <c r="I113" s="53">
        <f t="shared" si="32"/>
        <v>3602.12</v>
      </c>
      <c r="J113" s="53">
        <f t="shared" si="32"/>
        <v>3570.9440000000004</v>
      </c>
      <c r="K113" s="53">
        <f t="shared" si="32"/>
        <v>3569.7328000000002</v>
      </c>
      <c r="L113" s="53">
        <f t="shared" si="32"/>
        <v>3583.8793600000004</v>
      </c>
    </row>
    <row r="114" spans="2:12" outlineLevel="1" x14ac:dyDescent="0.2">
      <c r="B114" s="18" t="s">
        <v>39</v>
      </c>
      <c r="C114" s="178">
        <v>3879</v>
      </c>
      <c r="D114" s="178">
        <v>2720</v>
      </c>
      <c r="E114" s="178">
        <v>2462</v>
      </c>
      <c r="F114" s="178">
        <v>2190</v>
      </c>
      <c r="G114" s="178">
        <v>2568</v>
      </c>
      <c r="H114" s="53">
        <f>AVERAGE(C114:G114)</f>
        <v>2763.8</v>
      </c>
      <c r="I114" s="53">
        <f t="shared" si="32"/>
        <v>2540.7599999999998</v>
      </c>
      <c r="J114" s="53">
        <f t="shared" si="32"/>
        <v>2504.9119999999998</v>
      </c>
      <c r="K114" s="53">
        <f t="shared" si="32"/>
        <v>2513.4944</v>
      </c>
      <c r="L114" s="53">
        <f t="shared" si="32"/>
        <v>2578.19328</v>
      </c>
    </row>
    <row r="115" spans="2:12" outlineLevel="1" x14ac:dyDescent="0.2">
      <c r="B115" s="17" t="s">
        <v>210</v>
      </c>
      <c r="C115" s="178">
        <v>14526</v>
      </c>
      <c r="D115" s="178">
        <v>14180</v>
      </c>
      <c r="E115" s="178">
        <v>13995</v>
      </c>
      <c r="F115" s="178">
        <v>12243</v>
      </c>
      <c r="G115" s="178">
        <v>11475</v>
      </c>
      <c r="H115" s="53">
        <f>AVERAGE(C115:G115)</f>
        <v>13283.8</v>
      </c>
      <c r="I115" s="53">
        <f t="shared" si="32"/>
        <v>13035.36</v>
      </c>
      <c r="J115" s="53">
        <f t="shared" si="32"/>
        <v>12806.432000000001</v>
      </c>
      <c r="K115" s="53">
        <f t="shared" si="32"/>
        <v>12568.718400000002</v>
      </c>
      <c r="L115" s="53">
        <f t="shared" si="32"/>
        <v>12633.862080000001</v>
      </c>
    </row>
    <row r="116" spans="2:12" outlineLevel="1" x14ac:dyDescent="0.2">
      <c r="B116" s="17" t="s">
        <v>46</v>
      </c>
      <c r="C116" s="180" t="s">
        <v>0</v>
      </c>
      <c r="D116" s="178">
        <v>3317</v>
      </c>
      <c r="E116" s="180" t="s">
        <v>0</v>
      </c>
      <c r="F116" s="180" t="s">
        <v>0</v>
      </c>
      <c r="G116" s="180" t="s">
        <v>0</v>
      </c>
      <c r="H116" s="180" t="s">
        <v>0</v>
      </c>
      <c r="I116" s="180" t="s">
        <v>0</v>
      </c>
      <c r="J116" s="180" t="s">
        <v>0</v>
      </c>
      <c r="K116" s="180" t="s">
        <v>0</v>
      </c>
      <c r="L116" s="180" t="s">
        <v>0</v>
      </c>
    </row>
    <row r="117" spans="2:12" outlineLevel="1" x14ac:dyDescent="0.2">
      <c r="B117" s="156" t="s">
        <v>65</v>
      </c>
      <c r="C117" s="56">
        <f>SUM(C111:C116)</f>
        <v>93500</v>
      </c>
      <c r="D117" s="56">
        <f t="shared" ref="D117:L117" si="33">SUM(D111:D116)</f>
        <v>95376</v>
      </c>
      <c r="E117" s="56">
        <f t="shared" si="33"/>
        <v>79386</v>
      </c>
      <c r="F117" s="56">
        <f t="shared" si="33"/>
        <v>73717</v>
      </c>
      <c r="G117" s="56">
        <f t="shared" si="33"/>
        <v>78505</v>
      </c>
      <c r="H117" s="56">
        <f t="shared" si="33"/>
        <v>80229.399999999994</v>
      </c>
      <c r="I117" s="56">
        <f t="shared" si="33"/>
        <v>80779.28</v>
      </c>
      <c r="J117" s="56">
        <f t="shared" si="33"/>
        <v>78523.33600000001</v>
      </c>
      <c r="K117" s="56">
        <f t="shared" si="33"/>
        <v>78350.803200000009</v>
      </c>
      <c r="L117" s="56">
        <f t="shared" si="33"/>
        <v>79277.563840000003</v>
      </c>
    </row>
    <row r="118" spans="2:12" outlineLevel="1" x14ac:dyDescent="0.2">
      <c r="B118" s="156" t="s">
        <v>211</v>
      </c>
      <c r="C118" s="56">
        <f>C110+C117</f>
        <v>131202</v>
      </c>
      <c r="D118" s="56">
        <f t="shared" ref="D118:L118" si="34">D110+D117</f>
        <v>135245</v>
      </c>
      <c r="E118" s="56">
        <f t="shared" si="34"/>
        <v>113005</v>
      </c>
      <c r="F118" s="56">
        <f t="shared" si="34"/>
        <v>105222</v>
      </c>
      <c r="G118" s="56">
        <f t="shared" si="34"/>
        <v>112626</v>
      </c>
      <c r="H118" s="56">
        <f t="shared" si="34"/>
        <v>114828.79999999999</v>
      </c>
      <c r="I118" s="56">
        <f t="shared" si="34"/>
        <v>114758.16</v>
      </c>
      <c r="J118" s="56">
        <f t="shared" si="34"/>
        <v>112087.99200000001</v>
      </c>
      <c r="K118" s="56">
        <f t="shared" si="34"/>
        <v>111904.59040000002</v>
      </c>
      <c r="L118" s="56">
        <f t="shared" si="34"/>
        <v>113241.10848</v>
      </c>
    </row>
    <row r="119" spans="2:12" outlineLevel="1" x14ac:dyDescent="0.2">
      <c r="B119" s="17" t="s">
        <v>212</v>
      </c>
      <c r="C119" s="53"/>
      <c r="D119" s="53"/>
      <c r="E119" s="53"/>
      <c r="F119" s="53"/>
      <c r="G119" s="53"/>
      <c r="H119" s="53"/>
      <c r="I119" s="53"/>
      <c r="J119" s="53"/>
      <c r="K119" s="53"/>
      <c r="L119" s="53"/>
    </row>
    <row r="120" spans="2:12" outlineLevel="1" x14ac:dyDescent="0.2">
      <c r="B120" s="17" t="s">
        <v>213</v>
      </c>
      <c r="C120" s="53"/>
      <c r="D120" s="53"/>
      <c r="E120" s="53"/>
      <c r="F120" s="53"/>
      <c r="G120" s="53"/>
      <c r="H120" s="53"/>
      <c r="I120" s="53"/>
      <c r="J120" s="53"/>
      <c r="K120" s="53"/>
      <c r="L120" s="53"/>
    </row>
    <row r="121" spans="2:12" outlineLevel="1" x14ac:dyDescent="0.2">
      <c r="B121" s="17" t="s">
        <v>214</v>
      </c>
      <c r="C121" s="53"/>
      <c r="D121" s="53"/>
      <c r="E121" s="53"/>
      <c r="F121" s="53"/>
      <c r="G121" s="53"/>
      <c r="H121" s="53"/>
      <c r="I121" s="53"/>
      <c r="J121" s="53"/>
      <c r="K121" s="53"/>
      <c r="L121" s="53"/>
    </row>
    <row r="122" spans="2:12" ht="30" outlineLevel="1" x14ac:dyDescent="0.2">
      <c r="B122" s="164" t="s">
        <v>55</v>
      </c>
      <c r="C122" s="178">
        <v>55895</v>
      </c>
      <c r="D122" s="178">
        <v>56556</v>
      </c>
      <c r="E122" s="178">
        <v>57319</v>
      </c>
      <c r="F122" s="178">
        <v>58343</v>
      </c>
      <c r="G122" s="178">
        <v>59643</v>
      </c>
      <c r="H122" s="53">
        <f t="shared" ref="H122:L124" si="35">AVERAGE(C122:G122)</f>
        <v>57551.199999999997</v>
      </c>
      <c r="I122" s="53">
        <f t="shared" si="35"/>
        <v>57882.44</v>
      </c>
      <c r="J122" s="53">
        <f t="shared" si="35"/>
        <v>58147.728000000003</v>
      </c>
      <c r="K122" s="53">
        <f t="shared" si="35"/>
        <v>58313.473600000005</v>
      </c>
      <c r="L122" s="53">
        <f t="shared" si="35"/>
        <v>58307.568320000006</v>
      </c>
    </row>
    <row r="123" spans="2:12" outlineLevel="1" x14ac:dyDescent="0.2">
      <c r="B123" s="163" t="s">
        <v>215</v>
      </c>
      <c r="C123" s="178">
        <v>162956</v>
      </c>
      <c r="D123" s="178">
        <v>162717</v>
      </c>
      <c r="E123" s="178">
        <v>154208</v>
      </c>
      <c r="F123" s="178">
        <v>149825</v>
      </c>
      <c r="G123" s="178">
        <v>151276</v>
      </c>
      <c r="H123" s="53">
        <f t="shared" si="35"/>
        <v>156196.4</v>
      </c>
      <c r="I123" s="53">
        <f t="shared" si="35"/>
        <v>154844.48000000001</v>
      </c>
      <c r="J123" s="53">
        <f t="shared" si="35"/>
        <v>153269.976</v>
      </c>
      <c r="K123" s="53">
        <f t="shared" si="35"/>
        <v>153082.37119999999</v>
      </c>
      <c r="L123" s="53">
        <f t="shared" si="35"/>
        <v>153733.84544</v>
      </c>
    </row>
    <row r="124" spans="2:12" outlineLevel="1" x14ac:dyDescent="0.2">
      <c r="B124" s="164" t="s">
        <v>57</v>
      </c>
      <c r="C124" s="178">
        <v>-169413</v>
      </c>
      <c r="D124" s="178">
        <v>-169339</v>
      </c>
      <c r="E124" s="178">
        <v>-169392</v>
      </c>
      <c r="F124" s="178">
        <v>-169484</v>
      </c>
      <c r="G124" s="178">
        <v>-169624</v>
      </c>
      <c r="H124" s="53">
        <f t="shared" si="35"/>
        <v>-169450.4</v>
      </c>
      <c r="I124" s="53">
        <f t="shared" si="35"/>
        <v>-169457.88</v>
      </c>
      <c r="J124" s="53">
        <f t="shared" si="35"/>
        <v>-169481.65600000002</v>
      </c>
      <c r="K124" s="53">
        <f t="shared" si="35"/>
        <v>-169499.58720000001</v>
      </c>
      <c r="L124" s="53">
        <f t="shared" si="35"/>
        <v>-169502.70463999998</v>
      </c>
    </row>
    <row r="125" spans="2:12" outlineLevel="1" x14ac:dyDescent="0.2">
      <c r="B125" s="163" t="s">
        <v>216</v>
      </c>
      <c r="C125" s="178">
        <v>-28597</v>
      </c>
      <c r="D125" s="178">
        <v>-29337</v>
      </c>
      <c r="E125" s="178">
        <v>-23234</v>
      </c>
      <c r="F125" s="178">
        <v>-16740</v>
      </c>
      <c r="G125" s="178">
        <v>-18761</v>
      </c>
      <c r="H125" s="53">
        <f>AVERAGE(C125:G125)</f>
        <v>-23333.8</v>
      </c>
      <c r="I125" s="53">
        <v>-23211</v>
      </c>
      <c r="J125" s="53">
        <f>AVERAGE(E125:I125)</f>
        <v>-21055.96</v>
      </c>
      <c r="K125" s="53">
        <f>AVERAGE(F125:J125)</f>
        <v>-20620.352000000003</v>
      </c>
      <c r="L125" s="53">
        <f>AVERAGE(G125:K125)</f>
        <v>-21396.422400000003</v>
      </c>
    </row>
    <row r="126" spans="2:12" outlineLevel="1" x14ac:dyDescent="0.2">
      <c r="B126" s="163" t="s">
        <v>217</v>
      </c>
      <c r="C126" s="53">
        <f>SUM(C122:C125)</f>
        <v>20841</v>
      </c>
      <c r="D126" s="53">
        <f t="shared" ref="D126:L126" si="36">SUM(D122:D125)</f>
        <v>20597</v>
      </c>
      <c r="E126" s="53">
        <f t="shared" si="36"/>
        <v>18901</v>
      </c>
      <c r="F126" s="53">
        <f t="shared" si="36"/>
        <v>21944</v>
      </c>
      <c r="G126" s="53">
        <f t="shared" si="36"/>
        <v>22534</v>
      </c>
      <c r="H126" s="53">
        <f t="shared" si="36"/>
        <v>20963.399999999983</v>
      </c>
      <c r="I126" s="53">
        <f t="shared" si="36"/>
        <v>20058.040000000008</v>
      </c>
      <c r="J126" s="53">
        <f t="shared" si="36"/>
        <v>20880.087999999982</v>
      </c>
      <c r="K126" s="53">
        <f t="shared" si="36"/>
        <v>21275.90559999998</v>
      </c>
      <c r="L126" s="53">
        <f t="shared" si="36"/>
        <v>21142.28672000004</v>
      </c>
    </row>
    <row r="127" spans="2:12" outlineLevel="1" x14ac:dyDescent="0.2">
      <c r="B127" s="17" t="s">
        <v>218</v>
      </c>
      <c r="C127" s="178">
        <v>144</v>
      </c>
      <c r="D127" s="178">
        <v>129</v>
      </c>
      <c r="E127" s="178">
        <v>95</v>
      </c>
      <c r="F127" s="178">
        <v>77</v>
      </c>
      <c r="G127" s="178">
        <v>80</v>
      </c>
      <c r="H127" s="53">
        <f>AVERAGE(C127:G127)</f>
        <v>105</v>
      </c>
      <c r="I127" s="53">
        <f>AVERAGE(D127:H127)</f>
        <v>97.2</v>
      </c>
      <c r="J127" s="53">
        <f>AVERAGE(E127:I127)</f>
        <v>90.84</v>
      </c>
      <c r="K127" s="53">
        <f>AVERAGE(F127:J127)</f>
        <v>90.007999999999996</v>
      </c>
      <c r="L127" s="53">
        <f>AVERAGE(G127:K127)</f>
        <v>92.609599999999986</v>
      </c>
    </row>
    <row r="128" spans="2:12" ht="15.75" outlineLevel="1" thickBot="1" x14ac:dyDescent="0.25">
      <c r="B128" s="157" t="s">
        <v>219</v>
      </c>
      <c r="C128" s="59">
        <f>SUM(C126:C127)</f>
        <v>20985</v>
      </c>
      <c r="D128" s="59">
        <f t="shared" ref="D128:L128" si="37">SUM(D126:D127)</f>
        <v>20726</v>
      </c>
      <c r="E128" s="59">
        <f t="shared" si="37"/>
        <v>18996</v>
      </c>
      <c r="F128" s="59">
        <f t="shared" si="37"/>
        <v>22021</v>
      </c>
      <c r="G128" s="59">
        <f t="shared" si="37"/>
        <v>22614</v>
      </c>
      <c r="H128" s="59">
        <f t="shared" si="37"/>
        <v>21068.399999999983</v>
      </c>
      <c r="I128" s="59">
        <f t="shared" si="37"/>
        <v>20155.240000000009</v>
      </c>
      <c r="J128" s="59">
        <f t="shared" si="37"/>
        <v>20970.927999999982</v>
      </c>
      <c r="K128" s="59">
        <f t="shared" si="37"/>
        <v>21365.913599999982</v>
      </c>
      <c r="L128" s="59">
        <f t="shared" si="37"/>
        <v>21234.89632000004</v>
      </c>
    </row>
    <row r="129" spans="1:12" ht="15.75" outlineLevel="1" thickBot="1" x14ac:dyDescent="0.25">
      <c r="B129" s="158" t="s">
        <v>220</v>
      </c>
      <c r="C129" s="62">
        <f>C118+C128</f>
        <v>152187</v>
      </c>
      <c r="D129" s="62">
        <f>D118+D128</f>
        <v>155971</v>
      </c>
      <c r="E129" s="62">
        <f>E118+E128</f>
        <v>132001</v>
      </c>
      <c r="F129" s="62">
        <f>F118+F128</f>
        <v>127243</v>
      </c>
      <c r="G129" s="62">
        <f>G118+G128</f>
        <v>135240</v>
      </c>
      <c r="H129" s="62">
        <v>135897.42177764906</v>
      </c>
      <c r="I129" s="62">
        <v>134913.00326551904</v>
      </c>
      <c r="J129" s="62">
        <v>133058.66111428695</v>
      </c>
      <c r="K129" s="62">
        <v>133270.03827696017</v>
      </c>
      <c r="L129" s="62">
        <v>134475.49764183396</v>
      </c>
    </row>
    <row r="130" spans="1:12" outlineLevel="1" x14ac:dyDescent="0.2"/>
    <row r="131" spans="1:12" outlineLevel="1" x14ac:dyDescent="0.2">
      <c r="C131" s="10" t="b">
        <f>C129=C98</f>
        <v>1</v>
      </c>
      <c r="D131" s="10" t="b">
        <f t="shared" ref="D131:L131" si="38">D129=D98</f>
        <v>1</v>
      </c>
      <c r="E131" s="10" t="b">
        <f t="shared" si="38"/>
        <v>1</v>
      </c>
      <c r="F131" s="10" t="b">
        <f t="shared" si="38"/>
        <v>1</v>
      </c>
      <c r="G131" s="10" t="b">
        <f t="shared" si="38"/>
        <v>1</v>
      </c>
      <c r="H131" s="10" t="b">
        <f t="shared" si="38"/>
        <v>1</v>
      </c>
      <c r="I131" s="10" t="b">
        <f t="shared" si="38"/>
        <v>1</v>
      </c>
      <c r="J131" s="10" t="b">
        <f t="shared" si="38"/>
        <v>1</v>
      </c>
      <c r="K131" s="10" t="b">
        <f t="shared" si="38"/>
        <v>1</v>
      </c>
      <c r="L131" s="10" t="b">
        <f t="shared" si="38"/>
        <v>1</v>
      </c>
    </row>
    <row r="132" spans="1:12" outlineLevel="1" x14ac:dyDescent="0.2">
      <c r="C132" s="7">
        <f t="shared" ref="C132:L132" si="39">C98-C129</f>
        <v>0</v>
      </c>
      <c r="D132" s="7">
        <f t="shared" si="39"/>
        <v>0</v>
      </c>
      <c r="E132" s="7">
        <f t="shared" si="39"/>
        <v>0</v>
      </c>
      <c r="F132" s="7">
        <f t="shared" si="39"/>
        <v>0</v>
      </c>
      <c r="G132" s="7">
        <f t="shared" si="39"/>
        <v>0</v>
      </c>
      <c r="H132" s="7">
        <f t="shared" si="39"/>
        <v>0</v>
      </c>
      <c r="I132" s="7">
        <f t="shared" si="39"/>
        <v>0</v>
      </c>
      <c r="J132" s="7">
        <f t="shared" si="39"/>
        <v>0</v>
      </c>
      <c r="K132" s="7">
        <f t="shared" si="39"/>
        <v>0</v>
      </c>
      <c r="L132" s="7">
        <f t="shared" si="39"/>
        <v>0</v>
      </c>
    </row>
    <row r="133" spans="1:12" outlineLevel="1" x14ac:dyDescent="0.2">
      <c r="C133" s="10"/>
      <c r="D133" s="10"/>
      <c r="E133" s="10"/>
      <c r="F133" s="10"/>
      <c r="G133" s="10"/>
      <c r="H133" s="152"/>
      <c r="I133" s="152"/>
      <c r="J133" s="152"/>
      <c r="K133" s="152"/>
      <c r="L133" s="152"/>
    </row>
    <row r="134" spans="1:12" x14ac:dyDescent="0.2">
      <c r="C134" s="10"/>
      <c r="D134" s="10"/>
      <c r="E134" s="10"/>
      <c r="F134" s="10"/>
      <c r="G134" s="10"/>
      <c r="H134" s="10"/>
      <c r="I134" s="10"/>
      <c r="J134" s="10"/>
      <c r="K134" s="10"/>
      <c r="L134" s="10"/>
    </row>
    <row r="135" spans="1:12" x14ac:dyDescent="0.2">
      <c r="A135" s="3" t="s">
        <v>182</v>
      </c>
      <c r="B135" s="175" t="s">
        <v>151</v>
      </c>
      <c r="C135" s="12"/>
      <c r="D135" s="12"/>
      <c r="E135" s="12"/>
      <c r="F135" s="12"/>
      <c r="G135" s="12"/>
      <c r="H135" s="12"/>
      <c r="I135" s="12"/>
      <c r="J135" s="12"/>
      <c r="K135" s="12"/>
      <c r="L135" s="12"/>
    </row>
    <row r="136" spans="1:12" outlineLevel="1" x14ac:dyDescent="0.2">
      <c r="B136" s="21" t="s">
        <v>33</v>
      </c>
      <c r="C136" s="10"/>
      <c r="D136" s="10"/>
      <c r="E136" s="10"/>
      <c r="F136" s="10"/>
      <c r="G136" s="10"/>
      <c r="H136" s="10"/>
      <c r="I136" s="10"/>
      <c r="J136" s="10"/>
      <c r="K136" s="10"/>
      <c r="L136" s="10"/>
    </row>
    <row r="137" spans="1:12" outlineLevel="1" x14ac:dyDescent="0.2">
      <c r="B137" s="14" t="s">
        <v>1</v>
      </c>
      <c r="C137" s="330">
        <v>9432</v>
      </c>
      <c r="D137" s="330">
        <v>5590</v>
      </c>
      <c r="E137" s="330">
        <v>5743</v>
      </c>
      <c r="F137" s="330">
        <v>1639</v>
      </c>
      <c r="G137" s="330">
        <v>7501</v>
      </c>
      <c r="H137" s="7">
        <f>H26</f>
        <v>4772.7758776172523</v>
      </c>
      <c r="I137" s="7">
        <f>I26</f>
        <v>4771.758060137272</v>
      </c>
      <c r="J137" s="7">
        <f>J26</f>
        <v>4765.1568933342196</v>
      </c>
      <c r="K137" s="7">
        <f>K26</f>
        <v>4752.9026795386244</v>
      </c>
      <c r="L137" s="7">
        <f>L26</f>
        <v>4734.868544373333</v>
      </c>
    </row>
    <row r="138" spans="1:12" ht="30" outlineLevel="1" x14ac:dyDescent="0.2">
      <c r="B138" s="14" t="s">
        <v>48</v>
      </c>
      <c r="C138" s="330"/>
      <c r="D138" s="330"/>
      <c r="E138" s="330"/>
      <c r="F138" s="330"/>
      <c r="G138" s="330"/>
      <c r="H138" s="7"/>
      <c r="I138" s="7"/>
      <c r="J138" s="7"/>
      <c r="K138" s="7"/>
      <c r="L138" s="7"/>
    </row>
    <row r="139" spans="1:12" outlineLevel="1" x14ac:dyDescent="0.2">
      <c r="B139" s="167" t="s">
        <v>221</v>
      </c>
      <c r="C139" s="330" t="s">
        <v>0</v>
      </c>
      <c r="D139" s="330" t="s">
        <v>0</v>
      </c>
      <c r="E139" s="330" t="s">
        <v>0</v>
      </c>
      <c r="F139" s="330">
        <v>5894</v>
      </c>
      <c r="G139" s="330" t="s">
        <v>0</v>
      </c>
      <c r="H139" s="7" t="s">
        <v>307</v>
      </c>
      <c r="I139" s="7" t="s">
        <v>307</v>
      </c>
      <c r="J139" s="7" t="s">
        <v>307</v>
      </c>
      <c r="K139" s="7" t="s">
        <v>307</v>
      </c>
      <c r="L139" s="7" t="s">
        <v>307</v>
      </c>
    </row>
    <row r="140" spans="1:12" outlineLevel="1" x14ac:dyDescent="0.2">
      <c r="B140" s="167" t="s">
        <v>2</v>
      </c>
      <c r="C140" s="330">
        <v>4209</v>
      </c>
      <c r="D140" s="330">
        <v>4227</v>
      </c>
      <c r="E140" s="330">
        <v>3888</v>
      </c>
      <c r="F140" s="330">
        <v>2407</v>
      </c>
      <c r="G140" s="330">
        <v>2109</v>
      </c>
      <c r="H140" s="7">
        <f t="shared" ref="H140:L144" si="40">H$9*H179</f>
        <v>3646.8271400480171</v>
      </c>
      <c r="I140" s="7">
        <f t="shared" si="40"/>
        <v>3726.2059165056162</v>
      </c>
      <c r="J140" s="7">
        <f t="shared" si="40"/>
        <v>3805.5846929632157</v>
      </c>
      <c r="K140" s="7">
        <f t="shared" si="40"/>
        <v>3884.9634694208148</v>
      </c>
      <c r="L140" s="7">
        <f t="shared" si="40"/>
        <v>3964.5597219782999</v>
      </c>
    </row>
    <row r="141" spans="1:12" outlineLevel="1" x14ac:dyDescent="0.2">
      <c r="B141" s="167" t="s">
        <v>3</v>
      </c>
      <c r="C141" s="330">
        <v>1850</v>
      </c>
      <c r="D141" s="330">
        <v>2468</v>
      </c>
      <c r="E141" s="330">
        <v>2529</v>
      </c>
      <c r="F141" s="330">
        <v>2395</v>
      </c>
      <c r="G141" s="330">
        <v>2287</v>
      </c>
      <c r="H141" s="7">
        <f t="shared" si="40"/>
        <v>2472.4572716087532</v>
      </c>
      <c r="I141" s="7">
        <f t="shared" si="40"/>
        <v>2526.2740897706949</v>
      </c>
      <c r="J141" s="7">
        <f t="shared" si="40"/>
        <v>2580.0909079326366</v>
      </c>
      <c r="K141" s="7">
        <f t="shared" si="40"/>
        <v>2633.9077260945778</v>
      </c>
      <c r="L141" s="7">
        <f t="shared" si="40"/>
        <v>2687.8719875939505</v>
      </c>
    </row>
    <row r="142" spans="1:12" outlineLevel="1" x14ac:dyDescent="0.2">
      <c r="B142" s="167" t="s">
        <v>4</v>
      </c>
      <c r="C142" s="330">
        <v>679</v>
      </c>
      <c r="D142" s="330">
        <v>937</v>
      </c>
      <c r="E142" s="330">
        <v>982</v>
      </c>
      <c r="F142" s="330">
        <v>987</v>
      </c>
      <c r="G142" s="330">
        <v>1133</v>
      </c>
      <c r="H142" s="7">
        <f t="shared" si="40"/>
        <v>1008.0645698111797</v>
      </c>
      <c r="I142" s="7">
        <f t="shared" si="40"/>
        <v>1030.006638647712</v>
      </c>
      <c r="J142" s="7">
        <f t="shared" si="40"/>
        <v>1051.9487074842441</v>
      </c>
      <c r="K142" s="7">
        <f t="shared" si="40"/>
        <v>1073.8907763207765</v>
      </c>
      <c r="L142" s="7">
        <f t="shared" si="40"/>
        <v>1095.8929604143955</v>
      </c>
    </row>
    <row r="143" spans="1:12" outlineLevel="1" x14ac:dyDescent="0.2">
      <c r="B143" s="167" t="s">
        <v>5</v>
      </c>
      <c r="C143" s="330">
        <v>-1527</v>
      </c>
      <c r="D143" s="330">
        <v>-3203</v>
      </c>
      <c r="E143" s="330">
        <v>-2001</v>
      </c>
      <c r="F143" s="330">
        <v>-2726</v>
      </c>
      <c r="G143" s="330">
        <v>-1114</v>
      </c>
      <c r="H143" s="7">
        <f t="shared" si="40"/>
        <v>-2284.8898296282396</v>
      </c>
      <c r="I143" s="7">
        <f t="shared" si="40"/>
        <v>-2334.623955225954</v>
      </c>
      <c r="J143" s="7">
        <f t="shared" si="40"/>
        <v>-2384.3580808236688</v>
      </c>
      <c r="K143" s="7">
        <f t="shared" si="40"/>
        <v>-2434.0922064213833</v>
      </c>
      <c r="L143" s="7">
        <f t="shared" si="40"/>
        <v>-2483.9625898974487</v>
      </c>
    </row>
    <row r="144" spans="1:12" outlineLevel="1" x14ac:dyDescent="0.2">
      <c r="B144" s="167" t="s">
        <v>14</v>
      </c>
      <c r="C144" s="330">
        <v>-1096</v>
      </c>
      <c r="D144" s="330">
        <v>-70</v>
      </c>
      <c r="E144" s="330">
        <v>-307</v>
      </c>
      <c r="F144" s="330">
        <v>-122</v>
      </c>
      <c r="G144" s="330">
        <v>-170</v>
      </c>
      <c r="H144" s="7">
        <f t="shared" si="40"/>
        <v>-380.42452875586378</v>
      </c>
      <c r="I144" s="7">
        <f t="shared" si="40"/>
        <v>-388.70505110239367</v>
      </c>
      <c r="J144" s="7">
        <f t="shared" si="40"/>
        <v>-396.98557344892356</v>
      </c>
      <c r="K144" s="7">
        <f t="shared" si="40"/>
        <v>-405.26609579545345</v>
      </c>
      <c r="L144" s="7">
        <f t="shared" si="40"/>
        <v>-413.56930450457673</v>
      </c>
    </row>
    <row r="145" spans="2:12" ht="30" outlineLevel="1" x14ac:dyDescent="0.2">
      <c r="B145" s="14" t="s">
        <v>6</v>
      </c>
      <c r="C145" s="330"/>
      <c r="D145" s="330"/>
      <c r="E145" s="330"/>
      <c r="F145" s="330"/>
      <c r="G145" s="330"/>
      <c r="H145" s="7"/>
      <c r="I145" s="7"/>
      <c r="J145" s="7"/>
      <c r="K145" s="7"/>
      <c r="L145" s="7"/>
    </row>
    <row r="146" spans="2:12" outlineLevel="1" x14ac:dyDescent="0.2">
      <c r="B146" s="167" t="s">
        <v>34</v>
      </c>
      <c r="C146" s="330">
        <v>502</v>
      </c>
      <c r="D146" s="330">
        <v>5297</v>
      </c>
      <c r="E146" s="330">
        <v>1372</v>
      </c>
      <c r="F146" s="330">
        <v>-539</v>
      </c>
      <c r="G146" s="330">
        <v>725</v>
      </c>
      <c r="H146" s="7">
        <f t="shared" ref="H146:L150" si="41">H$9*H184</f>
        <v>1646.0755856454189</v>
      </c>
      <c r="I146" s="7">
        <f t="shared" si="41"/>
        <v>1681.9049411172932</v>
      </c>
      <c r="J146" s="7">
        <f t="shared" si="41"/>
        <v>1717.7342965891676</v>
      </c>
      <c r="K146" s="7">
        <f t="shared" si="41"/>
        <v>1753.5636520610421</v>
      </c>
      <c r="L146" s="7">
        <f t="shared" si="41"/>
        <v>1789.4911701506485</v>
      </c>
    </row>
    <row r="147" spans="2:12" outlineLevel="1" x14ac:dyDescent="0.2">
      <c r="B147" s="167" t="s">
        <v>7</v>
      </c>
      <c r="C147" s="330">
        <v>301</v>
      </c>
      <c r="D147" s="330">
        <v>936</v>
      </c>
      <c r="E147" s="330">
        <v>1038</v>
      </c>
      <c r="F147" s="330">
        <v>331</v>
      </c>
      <c r="G147" s="330">
        <v>-462</v>
      </c>
      <c r="H147" s="7">
        <f t="shared" si="41"/>
        <v>479.38779306988425</v>
      </c>
      <c r="I147" s="7">
        <f t="shared" si="41"/>
        <v>489.82240238950646</v>
      </c>
      <c r="J147" s="7">
        <f t="shared" si="41"/>
        <v>500.25701170912868</v>
      </c>
      <c r="K147" s="7">
        <f t="shared" si="41"/>
        <v>510.69162102875089</v>
      </c>
      <c r="L147" s="7">
        <f t="shared" si="41"/>
        <v>521.154818319112</v>
      </c>
    </row>
    <row r="148" spans="2:12" outlineLevel="1" x14ac:dyDescent="0.2">
      <c r="B148" s="167" t="s">
        <v>8</v>
      </c>
      <c r="C148" s="330">
        <v>67</v>
      </c>
      <c r="D148" s="330">
        <v>-209</v>
      </c>
      <c r="E148" s="330">
        <v>138</v>
      </c>
      <c r="F148" s="330">
        <v>71</v>
      </c>
      <c r="G148" s="330">
        <v>390</v>
      </c>
      <c r="H148" s="7">
        <f t="shared" si="41"/>
        <v>90.887073870903819</v>
      </c>
      <c r="I148" s="7">
        <f t="shared" si="41"/>
        <v>92.865370193330776</v>
      </c>
      <c r="J148" s="7">
        <f t="shared" si="41"/>
        <v>94.843666515757732</v>
      </c>
      <c r="K148" s="7">
        <f t="shared" si="41"/>
        <v>96.821962838184689</v>
      </c>
      <c r="L148" s="7">
        <f t="shared" si="41"/>
        <v>98.805679150536136</v>
      </c>
    </row>
    <row r="149" spans="2:12" outlineLevel="1" x14ac:dyDescent="0.2">
      <c r="B149" s="167" t="s">
        <v>9</v>
      </c>
      <c r="C149" s="330">
        <v>858</v>
      </c>
      <c r="D149" s="330">
        <v>2087</v>
      </c>
      <c r="E149" s="330">
        <v>-671</v>
      </c>
      <c r="F149" s="330">
        <v>-115</v>
      </c>
      <c r="G149" s="330">
        <v>1466</v>
      </c>
      <c r="H149" s="7">
        <f t="shared" si="41"/>
        <v>786.35745879245746</v>
      </c>
      <c r="I149" s="7">
        <f t="shared" si="41"/>
        <v>803.47373289598693</v>
      </c>
      <c r="J149" s="7">
        <f t="shared" si="41"/>
        <v>820.59000699951639</v>
      </c>
      <c r="K149" s="7">
        <f t="shared" si="41"/>
        <v>837.70628110304597</v>
      </c>
      <c r="L149" s="7">
        <f t="shared" si="41"/>
        <v>854.86944910822922</v>
      </c>
    </row>
    <row r="150" spans="2:12" ht="15.75" outlineLevel="1" thickBot="1" x14ac:dyDescent="0.25">
      <c r="B150" s="167" t="s">
        <v>10</v>
      </c>
      <c r="C150" s="330">
        <v>-503</v>
      </c>
      <c r="D150" s="330">
        <v>138</v>
      </c>
      <c r="E150" s="330">
        <v>85</v>
      </c>
      <c r="F150" s="330">
        <v>213</v>
      </c>
      <c r="G150" s="330">
        <v>65</v>
      </c>
      <c r="H150" s="7">
        <f t="shared" si="41"/>
        <v>-2.0371753235054588</v>
      </c>
      <c r="I150" s="7">
        <f t="shared" si="41"/>
        <v>-2.0815175635951131</v>
      </c>
      <c r="J150" s="7">
        <f t="shared" si="41"/>
        <v>-2.1258598036847678</v>
      </c>
      <c r="K150" s="7">
        <f t="shared" si="41"/>
        <v>-2.1702020437744225</v>
      </c>
      <c r="L150" s="7">
        <f t="shared" si="41"/>
        <v>-2.2146657694533647</v>
      </c>
    </row>
    <row r="151" spans="2:12" ht="15.75" outlineLevel="1" thickBot="1" x14ac:dyDescent="0.25">
      <c r="B151" s="168" t="s">
        <v>11</v>
      </c>
      <c r="C151" s="114">
        <f>SUM(C137:C150)</f>
        <v>14772</v>
      </c>
      <c r="D151" s="114">
        <f t="shared" ref="D151:L151" si="42">SUM(D137:D150)</f>
        <v>18198</v>
      </c>
      <c r="E151" s="114">
        <f t="shared" si="42"/>
        <v>12796</v>
      </c>
      <c r="F151" s="114">
        <f t="shared" si="42"/>
        <v>10435</v>
      </c>
      <c r="G151" s="114">
        <f t="shared" si="42"/>
        <v>13930</v>
      </c>
      <c r="H151" s="114">
        <f t="shared" si="42"/>
        <v>12235.481236756257</v>
      </c>
      <c r="I151" s="114">
        <f t="shared" si="42"/>
        <v>12396.900627765472</v>
      </c>
      <c r="J151" s="114">
        <f t="shared" si="42"/>
        <v>12552.736669451608</v>
      </c>
      <c r="K151" s="114">
        <f t="shared" si="42"/>
        <v>12702.919664145207</v>
      </c>
      <c r="L151" s="114">
        <f t="shared" si="42"/>
        <v>12847.767770917028</v>
      </c>
    </row>
    <row r="152" spans="2:12" outlineLevel="1" x14ac:dyDescent="0.2">
      <c r="B152" s="21" t="s">
        <v>35</v>
      </c>
      <c r="C152" s="7"/>
      <c r="D152" s="7"/>
      <c r="E152" s="7"/>
      <c r="F152" s="7"/>
      <c r="G152" s="7"/>
      <c r="H152" s="7"/>
      <c r="I152" s="7"/>
      <c r="J152" s="7"/>
      <c r="K152" s="7"/>
      <c r="L152" s="7"/>
    </row>
    <row r="153" spans="2:12" outlineLevel="1" x14ac:dyDescent="0.2">
      <c r="B153" s="14" t="s">
        <v>12</v>
      </c>
      <c r="C153" s="330">
        <v>-2286</v>
      </c>
      <c r="D153" s="330">
        <v>-2618</v>
      </c>
      <c r="E153" s="330">
        <v>-2062</v>
      </c>
      <c r="F153" s="330">
        <v>-1346</v>
      </c>
      <c r="G153" s="330">
        <v>-1245</v>
      </c>
      <c r="H153" s="7">
        <f>H$9*H191</f>
        <v>-2071.1276268311162</v>
      </c>
      <c r="I153" s="7">
        <f>I$9*I191</f>
        <v>-2116.208890787932</v>
      </c>
      <c r="J153" s="7">
        <f>J$9*J191</f>
        <v>-2161.2901547447482</v>
      </c>
      <c r="K153" s="7">
        <f>K$9*K191</f>
        <v>-2206.3714187015644</v>
      </c>
      <c r="L153" s="7">
        <f>L$9*L191</f>
        <v>-2251.5761929705918</v>
      </c>
    </row>
    <row r="154" spans="2:12" outlineLevel="1" x14ac:dyDescent="0.2">
      <c r="B154" s="169" t="s">
        <v>97</v>
      </c>
      <c r="C154" s="116">
        <f>SUM(C151:C153)</f>
        <v>12486</v>
      </c>
      <c r="D154" s="116">
        <f t="shared" ref="D154:L154" si="43">SUM(D151:D153)</f>
        <v>15580</v>
      </c>
      <c r="E154" s="116">
        <f t="shared" si="43"/>
        <v>10734</v>
      </c>
      <c r="F154" s="116">
        <f t="shared" si="43"/>
        <v>9089</v>
      </c>
      <c r="G154" s="116">
        <f t="shared" si="43"/>
        <v>12685</v>
      </c>
      <c r="H154" s="116">
        <f t="shared" si="43"/>
        <v>10164.353609925141</v>
      </c>
      <c r="I154" s="116">
        <f t="shared" si="43"/>
        <v>10280.69173697754</v>
      </c>
      <c r="J154" s="116">
        <f t="shared" si="43"/>
        <v>10391.446514706859</v>
      </c>
      <c r="K154" s="116">
        <f t="shared" si="43"/>
        <v>10496.548245443642</v>
      </c>
      <c r="L154" s="116">
        <f t="shared" si="43"/>
        <v>10596.191577946436</v>
      </c>
    </row>
    <row r="155" spans="2:12" outlineLevel="1" x14ac:dyDescent="0.2">
      <c r="B155" s="3" t="s">
        <v>13</v>
      </c>
      <c r="C155" s="330">
        <v>537</v>
      </c>
      <c r="D155" s="330">
        <v>188</v>
      </c>
      <c r="E155" s="330">
        <v>387</v>
      </c>
      <c r="F155" s="330">
        <v>111</v>
      </c>
      <c r="G155" s="330">
        <v>321</v>
      </c>
      <c r="H155" s="7">
        <f t="shared" ref="H155:L158" si="44">H$9*H192</f>
        <v>331.66818610325805</v>
      </c>
      <c r="I155" s="7">
        <f t="shared" si="44"/>
        <v>338.88745199981526</v>
      </c>
      <c r="J155" s="7">
        <f t="shared" si="44"/>
        <v>346.10671789637252</v>
      </c>
      <c r="K155" s="7">
        <f t="shared" si="44"/>
        <v>353.32598379292972</v>
      </c>
      <c r="L155" s="7">
        <f t="shared" si="44"/>
        <v>360.56502850016261</v>
      </c>
    </row>
    <row r="156" spans="2:12" outlineLevel="1" x14ac:dyDescent="0.2">
      <c r="B156" s="14" t="s">
        <v>15</v>
      </c>
      <c r="C156" s="330">
        <v>-621</v>
      </c>
      <c r="D156" s="330">
        <v>-612</v>
      </c>
      <c r="E156" s="330">
        <v>-706</v>
      </c>
      <c r="F156" s="330">
        <v>-626</v>
      </c>
      <c r="G156" s="330">
        <v>-565</v>
      </c>
      <c r="H156" s="7">
        <f t="shared" si="44"/>
        <v>-671.75116745614821</v>
      </c>
      <c r="I156" s="7">
        <f t="shared" si="44"/>
        <v>-686.37286015198868</v>
      </c>
      <c r="J156" s="7">
        <f t="shared" si="44"/>
        <v>-700.99455284782925</v>
      </c>
      <c r="K156" s="7">
        <f t="shared" si="44"/>
        <v>-715.61624554366972</v>
      </c>
      <c r="L156" s="7">
        <f t="shared" si="44"/>
        <v>-730.27799767155386</v>
      </c>
    </row>
    <row r="157" spans="2:12" outlineLevel="1" x14ac:dyDescent="0.2">
      <c r="B157" s="14" t="s">
        <v>16</v>
      </c>
      <c r="C157" s="330">
        <v>-3693</v>
      </c>
      <c r="D157" s="330">
        <v>-6246</v>
      </c>
      <c r="E157" s="330">
        <v>-3561</v>
      </c>
      <c r="F157" s="330">
        <v>-5930</v>
      </c>
      <c r="G157" s="330">
        <v>-11143</v>
      </c>
      <c r="H157" s="7">
        <f t="shared" si="44"/>
        <v>-6479.6425475542947</v>
      </c>
      <c r="I157" s="7">
        <f t="shared" si="44"/>
        <v>-6620.6818887556137</v>
      </c>
      <c r="J157" s="7">
        <f t="shared" si="44"/>
        <v>-6761.7212299569328</v>
      </c>
      <c r="K157" s="7">
        <f t="shared" si="44"/>
        <v>-6902.7605711582519</v>
      </c>
      <c r="L157" s="7">
        <f t="shared" si="44"/>
        <v>-7044.186321513549</v>
      </c>
    </row>
    <row r="158" spans="2:12" ht="30" outlineLevel="1" x14ac:dyDescent="0.2">
      <c r="B158" s="14" t="s">
        <v>17</v>
      </c>
      <c r="C158" s="330">
        <v>3961</v>
      </c>
      <c r="D158" s="330">
        <v>5618</v>
      </c>
      <c r="E158" s="330">
        <v>3147</v>
      </c>
      <c r="F158" s="330">
        <v>4665</v>
      </c>
      <c r="G158" s="330">
        <v>10647</v>
      </c>
      <c r="H158" s="7">
        <f t="shared" si="44"/>
        <v>5942.696793461856</v>
      </c>
      <c r="I158" s="7">
        <f t="shared" si="44"/>
        <v>6072.0486881933648</v>
      </c>
      <c r="J158" s="7">
        <f t="shared" si="44"/>
        <v>6201.4005829248745</v>
      </c>
      <c r="K158" s="7">
        <f t="shared" si="44"/>
        <v>6330.7524776563832</v>
      </c>
      <c r="L158" s="7">
        <f t="shared" si="44"/>
        <v>6460.4587611405841</v>
      </c>
    </row>
    <row r="159" spans="2:12" outlineLevel="1" x14ac:dyDescent="0.2">
      <c r="B159" s="14" t="s">
        <v>36</v>
      </c>
      <c r="C159" s="330">
        <v>6720</v>
      </c>
      <c r="D159" s="330">
        <v>475</v>
      </c>
      <c r="E159" s="330">
        <v>0</v>
      </c>
      <c r="F159" s="330">
        <v>0</v>
      </c>
      <c r="G159" s="330">
        <v>0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</row>
    <row r="160" spans="2:12" outlineLevel="1" x14ac:dyDescent="0.2">
      <c r="B160" s="14" t="s">
        <v>18</v>
      </c>
      <c r="C160" s="330">
        <v>-32630</v>
      </c>
      <c r="D160" s="330">
        <v>-336</v>
      </c>
      <c r="E160" s="330">
        <v>-3293</v>
      </c>
      <c r="F160" s="330">
        <v>-2348</v>
      </c>
      <c r="G160" s="330">
        <v>-5082</v>
      </c>
      <c r="H160" s="7">
        <f>AVERAGE(C160:G160)</f>
        <v>-8737.7999999999993</v>
      </c>
      <c r="I160" s="7">
        <f>AVERAGE(D160:H160)</f>
        <v>-3959.3599999999997</v>
      </c>
      <c r="J160" s="7">
        <f>AVERAGE(E160:I160)</f>
        <v>-4684.0320000000002</v>
      </c>
      <c r="K160" s="7">
        <f>AVERAGE(F160:J160)</f>
        <v>-4962.2384000000002</v>
      </c>
      <c r="L160" s="7">
        <f>AVERAGE(G160:K160)</f>
        <v>-5485.0860799999991</v>
      </c>
    </row>
    <row r="161" spans="2:12" ht="15.75" outlineLevel="1" thickBot="1" x14ac:dyDescent="0.25">
      <c r="B161" s="14" t="s">
        <v>19</v>
      </c>
      <c r="C161" s="330">
        <v>1076</v>
      </c>
      <c r="D161" s="330">
        <v>503</v>
      </c>
      <c r="E161" s="330">
        <v>114</v>
      </c>
      <c r="F161" s="330">
        <v>1272</v>
      </c>
      <c r="G161" s="330">
        <v>-4</v>
      </c>
      <c r="H161" s="7">
        <f>H$9*H198</f>
        <v>634.93185711465173</v>
      </c>
      <c r="I161" s="7">
        <f>I$9*I198</f>
        <v>648.75212114587987</v>
      </c>
      <c r="J161" s="7">
        <f>J$9*J198</f>
        <v>662.57238517710812</v>
      </c>
      <c r="K161" s="7">
        <f>K$9*K198</f>
        <v>676.39264920833625</v>
      </c>
      <c r="L161" s="7">
        <f>L$9*L198</f>
        <v>690.25077697663664</v>
      </c>
    </row>
    <row r="162" spans="2:12" ht="15.75" outlineLevel="1" thickBot="1" x14ac:dyDescent="0.25">
      <c r="B162" s="168" t="s">
        <v>20</v>
      </c>
      <c r="C162" s="114">
        <f>C153+C155+C156+C157+C158+C159+C160+C161</f>
        <v>-26936</v>
      </c>
      <c r="D162" s="114">
        <f>D153+D155+D156+D157+D158+D159+D160+D161</f>
        <v>-3028</v>
      </c>
      <c r="E162" s="114">
        <f>E153+E155+E156+E157+E158+E159+E160+E161</f>
        <v>-5974</v>
      </c>
      <c r="F162" s="114">
        <f>F153+F155+F156+F157+F158+F159+F160+F161</f>
        <v>-4202</v>
      </c>
      <c r="G162" s="114">
        <f t="shared" ref="G162:L162" si="45">G153+G155+G156+G157+G158+G159+G160+G161</f>
        <v>-7071</v>
      </c>
      <c r="H162" s="114">
        <f t="shared" si="45"/>
        <v>-11051.024505161791</v>
      </c>
      <c r="I162" s="114">
        <f t="shared" si="45"/>
        <v>-6322.9353783564748</v>
      </c>
      <c r="J162" s="114">
        <f t="shared" si="45"/>
        <v>-7097.9582515511556</v>
      </c>
      <c r="K162" s="114">
        <f t="shared" si="45"/>
        <v>-7426.515524745837</v>
      </c>
      <c r="L162" s="114">
        <f t="shared" si="45"/>
        <v>-7999.8520255383119</v>
      </c>
    </row>
    <row r="163" spans="2:12" outlineLevel="1" x14ac:dyDescent="0.2">
      <c r="B163" s="21" t="s">
        <v>37</v>
      </c>
      <c r="C163" s="7"/>
      <c r="D163" s="7"/>
      <c r="E163" s="7"/>
      <c r="F163" s="7"/>
      <c r="G163" s="7"/>
      <c r="H163" s="7"/>
      <c r="I163" s="7"/>
      <c r="J163" s="7"/>
      <c r="K163" s="7"/>
      <c r="L163" s="7"/>
    </row>
    <row r="164" spans="2:12" outlineLevel="1" x14ac:dyDescent="0.2">
      <c r="B164" s="14" t="s">
        <v>21</v>
      </c>
      <c r="C164" s="330">
        <v>31825</v>
      </c>
      <c r="D164" s="330">
        <v>10504</v>
      </c>
      <c r="E164" s="330">
        <v>522</v>
      </c>
      <c r="F164" s="330">
        <v>7804</v>
      </c>
      <c r="G164" s="330">
        <v>9586</v>
      </c>
      <c r="H164" s="7">
        <f t="shared" ref="H164:L166" si="46">H$9*H200</f>
        <v>12959.66968648195</v>
      </c>
      <c r="I164" s="7">
        <f t="shared" si="46"/>
        <v>13241.756740104687</v>
      </c>
      <c r="J164" s="7">
        <f t="shared" si="46"/>
        <v>13523.843793727423</v>
      </c>
      <c r="K164" s="7">
        <f t="shared" si="46"/>
        <v>13805.930847350161</v>
      </c>
      <c r="L164" s="7">
        <f t="shared" si="46"/>
        <v>14088.790742215706</v>
      </c>
    </row>
    <row r="165" spans="2:12" outlineLevel="1" x14ac:dyDescent="0.2">
      <c r="B165" s="14" t="s">
        <v>22</v>
      </c>
      <c r="C165" s="330">
        <v>-12944</v>
      </c>
      <c r="D165" s="330">
        <v>-13365</v>
      </c>
      <c r="E165" s="330">
        <v>-8597</v>
      </c>
      <c r="F165" s="330">
        <v>-6800</v>
      </c>
      <c r="G165" s="330">
        <v>-5082</v>
      </c>
      <c r="H165" s="7">
        <f t="shared" si="46"/>
        <v>-10155.592675919081</v>
      </c>
      <c r="I165" s="7">
        <f t="shared" si="46"/>
        <v>-10376.644700009698</v>
      </c>
      <c r="J165" s="7">
        <f t="shared" si="46"/>
        <v>-10597.696724100317</v>
      </c>
      <c r="K165" s="7">
        <f t="shared" si="46"/>
        <v>-10818.748748190934</v>
      </c>
      <c r="L165" s="7">
        <f t="shared" si="46"/>
        <v>-11040.406394265367</v>
      </c>
    </row>
    <row r="166" spans="2:12" outlineLevel="1" x14ac:dyDescent="0.2">
      <c r="B166" s="3" t="s">
        <v>23</v>
      </c>
      <c r="C166" s="330">
        <v>-2597</v>
      </c>
      <c r="D166" s="330">
        <v>-853</v>
      </c>
      <c r="E166" s="330">
        <v>-40</v>
      </c>
      <c r="F166" s="330">
        <v>217</v>
      </c>
      <c r="G166" s="330">
        <v>-7</v>
      </c>
      <c r="H166" s="7">
        <f t="shared" si="46"/>
        <v>-722.41541668393052</v>
      </c>
      <c r="I166" s="7">
        <f t="shared" si="46"/>
        <v>-738.13989433759912</v>
      </c>
      <c r="J166" s="7">
        <f t="shared" si="46"/>
        <v>-753.86437199126772</v>
      </c>
      <c r="K166" s="7">
        <f t="shared" si="46"/>
        <v>-769.58884964493632</v>
      </c>
      <c r="L166" s="7">
        <f t="shared" si="46"/>
        <v>-785.35640805930018</v>
      </c>
    </row>
    <row r="167" spans="2:12" outlineLevel="1" x14ac:dyDescent="0.2">
      <c r="B167" s="14" t="s">
        <v>24</v>
      </c>
      <c r="C167" s="330">
        <v>-1361</v>
      </c>
      <c r="D167" s="330" t="s">
        <v>0</v>
      </c>
      <c r="E167" s="330" t="s">
        <v>0</v>
      </c>
      <c r="F167" s="330" t="s">
        <v>0</v>
      </c>
      <c r="G167" s="330" t="s">
        <v>0</v>
      </c>
      <c r="H167" s="191" t="s">
        <v>0</v>
      </c>
      <c r="I167" s="191" t="s">
        <v>0</v>
      </c>
      <c r="J167" s="191" t="s">
        <v>0</v>
      </c>
      <c r="K167" s="191" t="s">
        <v>0</v>
      </c>
      <c r="L167" s="191" t="s">
        <v>0</v>
      </c>
    </row>
    <row r="168" spans="2:12" outlineLevel="1" x14ac:dyDescent="0.2">
      <c r="B168" s="14" t="s">
        <v>223</v>
      </c>
      <c r="C168" s="330">
        <v>-272</v>
      </c>
      <c r="D168" s="330">
        <v>-302</v>
      </c>
      <c r="E168" s="330">
        <v>-319</v>
      </c>
      <c r="F168" s="330">
        <v>-407</v>
      </c>
      <c r="G168" s="330">
        <v>-402</v>
      </c>
      <c r="H168" s="7">
        <f t="shared" ref="H168:L169" si="47">H$9*H204</f>
        <v>-362.83134616375776</v>
      </c>
      <c r="I168" s="7">
        <f t="shared" si="47"/>
        <v>-370.72892595377863</v>
      </c>
      <c r="J168" s="7">
        <f t="shared" si="47"/>
        <v>-378.62650574379944</v>
      </c>
      <c r="K168" s="7">
        <f t="shared" si="47"/>
        <v>-386.52408553382031</v>
      </c>
      <c r="L168" s="7">
        <f t="shared" si="47"/>
        <v>-394.44330252874551</v>
      </c>
    </row>
    <row r="169" spans="2:12" outlineLevel="1" x14ac:dyDescent="0.2">
      <c r="B169" s="14" t="s">
        <v>225</v>
      </c>
      <c r="C169" s="330">
        <v>99</v>
      </c>
      <c r="D169" s="330">
        <v>92</v>
      </c>
      <c r="E169" s="330">
        <v>70</v>
      </c>
      <c r="F169" s="330">
        <v>176</v>
      </c>
      <c r="G169" s="330">
        <v>176</v>
      </c>
      <c r="H169" s="7">
        <f t="shared" si="47"/>
        <v>129.69921854035746</v>
      </c>
      <c r="I169" s="7">
        <f t="shared" si="47"/>
        <v>132.52232061782661</v>
      </c>
      <c r="J169" s="7">
        <f t="shared" si="47"/>
        <v>135.34542269529572</v>
      </c>
      <c r="K169" s="7">
        <f t="shared" si="47"/>
        <v>138.16852477276487</v>
      </c>
      <c r="L169" s="7">
        <f t="shared" si="47"/>
        <v>140.9993613764737</v>
      </c>
    </row>
    <row r="170" spans="2:12" outlineLevel="1" x14ac:dyDescent="0.2">
      <c r="B170" s="17" t="s">
        <v>47</v>
      </c>
      <c r="C170" s="330" t="s">
        <v>0</v>
      </c>
      <c r="D170" s="330" t="s">
        <v>0</v>
      </c>
      <c r="E170" s="330">
        <v>879</v>
      </c>
      <c r="F170" s="330" t="s">
        <v>0</v>
      </c>
      <c r="G170" s="330" t="s">
        <v>0</v>
      </c>
      <c r="H170" s="7" t="s">
        <v>307</v>
      </c>
      <c r="I170" s="7" t="s">
        <v>307</v>
      </c>
      <c r="J170" s="7" t="s">
        <v>307</v>
      </c>
      <c r="K170" s="7" t="s">
        <v>307</v>
      </c>
      <c r="L170" s="7" t="s">
        <v>307</v>
      </c>
    </row>
    <row r="171" spans="2:12" ht="15.75" outlineLevel="1" thickBot="1" x14ac:dyDescent="0.25">
      <c r="B171" s="14" t="s">
        <v>25</v>
      </c>
      <c r="C171" s="330">
        <v>-5707</v>
      </c>
      <c r="D171" s="330">
        <v>-5797</v>
      </c>
      <c r="E171" s="330">
        <v>-5869</v>
      </c>
      <c r="F171" s="330">
        <v>-5948</v>
      </c>
      <c r="G171" s="330">
        <v>-6040</v>
      </c>
      <c r="H171" s="7">
        <f>H$9*H207</f>
        <v>-6289.3658049174664</v>
      </c>
      <c r="I171" s="7">
        <f>I$9*I207</f>
        <v>-6426.263481477491</v>
      </c>
      <c r="J171" s="7">
        <f>J$9*J207</f>
        <v>-6563.1611580375156</v>
      </c>
      <c r="K171" s="7">
        <f>K$9*K207</f>
        <v>-6700.0588345975402</v>
      </c>
      <c r="L171" s="7">
        <f>L$9*L207</f>
        <v>-6837.3315732851288</v>
      </c>
    </row>
    <row r="172" spans="2:12" ht="15.75" outlineLevel="1" thickBot="1" x14ac:dyDescent="0.25">
      <c r="B172" s="168" t="s">
        <v>38</v>
      </c>
      <c r="C172" s="114">
        <f t="shared" ref="C172:L172" si="48">SUM(C164:C171)</f>
        <v>9043</v>
      </c>
      <c r="D172" s="114">
        <f t="shared" si="48"/>
        <v>-9721</v>
      </c>
      <c r="E172" s="114">
        <f t="shared" si="48"/>
        <v>-13354</v>
      </c>
      <c r="F172" s="114">
        <f t="shared" si="48"/>
        <v>-4958</v>
      </c>
      <c r="G172" s="114">
        <f t="shared" si="48"/>
        <v>-1769</v>
      </c>
      <c r="H172" s="114">
        <f t="shared" si="48"/>
        <v>-4440.8363386619285</v>
      </c>
      <c r="I172" s="114">
        <f t="shared" si="48"/>
        <v>-4537.4979410560527</v>
      </c>
      <c r="J172" s="114">
        <f t="shared" si="48"/>
        <v>-4634.1595434501814</v>
      </c>
      <c r="K172" s="114">
        <f t="shared" si="48"/>
        <v>-4730.8211458443047</v>
      </c>
      <c r="L172" s="114">
        <f t="shared" si="48"/>
        <v>-4827.7475745463616</v>
      </c>
    </row>
    <row r="173" spans="2:12" outlineLevel="1" x14ac:dyDescent="0.2">
      <c r="B173" s="3" t="s">
        <v>26</v>
      </c>
      <c r="C173" s="330">
        <v>-167</v>
      </c>
      <c r="D173" s="330">
        <v>-87</v>
      </c>
      <c r="E173" s="330">
        <v>-185</v>
      </c>
      <c r="F173" s="330">
        <v>-244</v>
      </c>
      <c r="G173" s="330">
        <v>9</v>
      </c>
      <c r="H173" s="7">
        <f>H$9*H209</f>
        <v>-145.04861528347877</v>
      </c>
      <c r="I173" s="7">
        <f>I$9*I209</f>
        <v>-148.20582048293335</v>
      </c>
      <c r="J173" s="7">
        <f>J$9*J209</f>
        <v>-151.3630256823879</v>
      </c>
      <c r="K173" s="7">
        <f>K$9*K209</f>
        <v>-154.52023088184245</v>
      </c>
      <c r="L173" s="7">
        <f>L$9*L209</f>
        <v>-157.68608595855585</v>
      </c>
    </row>
    <row r="174" spans="2:12" outlineLevel="1" x14ac:dyDescent="0.2">
      <c r="B174" s="14" t="s">
        <v>27</v>
      </c>
      <c r="C174" s="330">
        <f t="shared" ref="C174:L174" si="49">C151+C162+C172+C173</f>
        <v>-3288</v>
      </c>
      <c r="D174" s="330">
        <f t="shared" si="49"/>
        <v>5362</v>
      </c>
      <c r="E174" s="330">
        <f t="shared" si="49"/>
        <v>-6717</v>
      </c>
      <c r="F174" s="330">
        <f t="shared" si="49"/>
        <v>1031</v>
      </c>
      <c r="G174" s="330">
        <f t="shared" si="49"/>
        <v>5099</v>
      </c>
      <c r="H174" s="7">
        <f t="shared" si="49"/>
        <v>-3401.4282223509413</v>
      </c>
      <c r="I174" s="7">
        <f t="shared" si="49"/>
        <v>1388.2614878700108</v>
      </c>
      <c r="J174" s="7">
        <f t="shared" si="49"/>
        <v>669.25584876788275</v>
      </c>
      <c r="K174" s="7">
        <f t="shared" si="49"/>
        <v>391.06276267322306</v>
      </c>
      <c r="L174" s="7">
        <f t="shared" si="49"/>
        <v>-137.51791512620184</v>
      </c>
    </row>
    <row r="175" spans="2:12" ht="15.75" outlineLevel="1" thickBot="1" x14ac:dyDescent="0.25">
      <c r="B175" s="14" t="s">
        <v>28</v>
      </c>
      <c r="C175" s="330">
        <v>11602</v>
      </c>
      <c r="D175" s="330">
        <v>8314</v>
      </c>
      <c r="E175" s="330">
        <v>13676</v>
      </c>
      <c r="F175" s="330">
        <v>6959</v>
      </c>
      <c r="G175" s="330">
        <v>7990</v>
      </c>
      <c r="H175" s="7">
        <f>G176</f>
        <v>13089</v>
      </c>
      <c r="I175" s="7">
        <f>H176</f>
        <v>9687.5717776490583</v>
      </c>
      <c r="J175" s="7">
        <f>I176</f>
        <v>11075.83326551907</v>
      </c>
      <c r="K175" s="7">
        <f>J176</f>
        <v>11745.089114286953</v>
      </c>
      <c r="L175" s="7">
        <f>K176</f>
        <v>12136.151876960177</v>
      </c>
    </row>
    <row r="176" spans="2:12" ht="15.75" outlineLevel="1" thickBot="1" x14ac:dyDescent="0.25">
      <c r="B176" s="168" t="s">
        <v>29</v>
      </c>
      <c r="C176" s="114">
        <f>SUM(C174:C175)</f>
        <v>8314</v>
      </c>
      <c r="D176" s="114">
        <f t="shared" ref="D176:L176" si="50">SUM(D174:D175)</f>
        <v>13676</v>
      </c>
      <c r="E176" s="114">
        <f t="shared" si="50"/>
        <v>6959</v>
      </c>
      <c r="F176" s="114">
        <f t="shared" si="50"/>
        <v>7990</v>
      </c>
      <c r="G176" s="114">
        <f t="shared" si="50"/>
        <v>13089</v>
      </c>
      <c r="H176" s="114">
        <f t="shared" si="50"/>
        <v>9687.5717776490583</v>
      </c>
      <c r="I176" s="114">
        <f t="shared" si="50"/>
        <v>11075.83326551907</v>
      </c>
      <c r="J176" s="114">
        <f t="shared" si="50"/>
        <v>11745.089114286953</v>
      </c>
      <c r="K176" s="114">
        <f t="shared" si="50"/>
        <v>12136.151876960177</v>
      </c>
      <c r="L176" s="114">
        <f t="shared" si="50"/>
        <v>11998.633961833975</v>
      </c>
    </row>
    <row r="177" spans="2:12" outlineLevel="1" x14ac:dyDescent="0.2">
      <c r="C177" s="10"/>
      <c r="D177" s="10"/>
      <c r="E177" s="10"/>
      <c r="F177" s="10"/>
      <c r="G177" s="10"/>
      <c r="H177" s="10"/>
      <c r="I177" s="10"/>
      <c r="J177" s="10"/>
      <c r="K177" s="10"/>
      <c r="L177" s="10"/>
    </row>
    <row r="178" spans="2:12" outlineLevel="1" x14ac:dyDescent="0.2">
      <c r="B178" s="175" t="s">
        <v>152</v>
      </c>
      <c r="C178" s="175"/>
      <c r="D178" s="175"/>
      <c r="E178" s="175"/>
      <c r="F178" s="175"/>
      <c r="G178" s="175"/>
      <c r="H178" s="175"/>
      <c r="I178" s="175"/>
      <c r="J178" s="175"/>
      <c r="K178" s="175"/>
      <c r="L178" s="175"/>
    </row>
    <row r="179" spans="2:12" outlineLevel="1" x14ac:dyDescent="0.2">
      <c r="B179" s="14" t="s">
        <v>2</v>
      </c>
      <c r="C179" s="29">
        <f t="shared" ref="C179:G183" si="51">C140/C$9</f>
        <v>7.2928578854350765E-2</v>
      </c>
      <c r="D179" s="29">
        <f t="shared" si="51"/>
        <v>7.6605230250638826E-2</v>
      </c>
      <c r="E179" s="29">
        <f t="shared" si="51"/>
        <v>6.7793063765235126E-2</v>
      </c>
      <c r="F179" s="29">
        <f t="shared" si="51"/>
        <v>3.9765405584007929E-2</v>
      </c>
      <c r="G179" s="29">
        <f t="shared" si="51"/>
        <v>3.4093113482056257E-2</v>
      </c>
      <c r="H179" s="29">
        <f>AVERAGE(C179:G179)</f>
        <v>5.8237078387257779E-2</v>
      </c>
      <c r="I179" s="29">
        <f t="shared" ref="I179:I188" si="52">H179</f>
        <v>5.8237078387257779E-2</v>
      </c>
      <c r="J179" s="29">
        <f t="shared" ref="J179:L188" si="53">I179</f>
        <v>5.8237078387257779E-2</v>
      </c>
      <c r="K179" s="29">
        <f t="shared" si="53"/>
        <v>5.8237078387257779E-2</v>
      </c>
      <c r="L179" s="29">
        <f t="shared" si="53"/>
        <v>5.8237078387257779E-2</v>
      </c>
    </row>
    <row r="180" spans="2:12" outlineLevel="1" x14ac:dyDescent="0.2">
      <c r="B180" s="14" t="s">
        <v>3</v>
      </c>
      <c r="C180" s="29">
        <f t="shared" si="51"/>
        <v>3.2054614131753124E-2</v>
      </c>
      <c r="D180" s="29">
        <f t="shared" si="51"/>
        <v>4.472716069519201E-2</v>
      </c>
      <c r="E180" s="29">
        <f t="shared" si="51"/>
        <v>4.4096877125071925E-2</v>
      </c>
      <c r="F180" s="29">
        <f t="shared" si="51"/>
        <v>3.9567156781761113E-2</v>
      </c>
      <c r="G180" s="29">
        <f t="shared" si="51"/>
        <v>3.6970578726155834E-2</v>
      </c>
      <c r="H180" s="29">
        <f t="shared" ref="H180:H188" si="54">AVERAGE(C180:G180)</f>
        <v>3.9483277491986803E-2</v>
      </c>
      <c r="I180" s="29">
        <f t="shared" si="52"/>
        <v>3.9483277491986803E-2</v>
      </c>
      <c r="J180" s="29">
        <f t="shared" si="53"/>
        <v>3.9483277491986803E-2</v>
      </c>
      <c r="K180" s="29">
        <f t="shared" si="53"/>
        <v>3.9483277491986803E-2</v>
      </c>
      <c r="L180" s="29">
        <f t="shared" si="53"/>
        <v>3.9483277491986803E-2</v>
      </c>
    </row>
    <row r="181" spans="2:12" outlineLevel="1" x14ac:dyDescent="0.2">
      <c r="B181" s="14" t="s">
        <v>4</v>
      </c>
      <c r="C181" s="29">
        <f t="shared" si="51"/>
        <v>1.1764909727275877E-2</v>
      </c>
      <c r="D181" s="29">
        <f t="shared" si="51"/>
        <v>1.6981097881440404E-2</v>
      </c>
      <c r="E181" s="29">
        <f t="shared" si="51"/>
        <v>1.7122630817248175E-2</v>
      </c>
      <c r="F181" s="29">
        <f t="shared" si="51"/>
        <v>1.6305963984800925E-2</v>
      </c>
      <c r="G181" s="29">
        <f t="shared" si="51"/>
        <v>1.8315551244746202E-2</v>
      </c>
      <c r="H181" s="29">
        <f t="shared" si="54"/>
        <v>1.609803073110232E-2</v>
      </c>
      <c r="I181" s="29">
        <f t="shared" si="52"/>
        <v>1.609803073110232E-2</v>
      </c>
      <c r="J181" s="29">
        <f t="shared" si="53"/>
        <v>1.609803073110232E-2</v>
      </c>
      <c r="K181" s="29">
        <f t="shared" si="53"/>
        <v>1.609803073110232E-2</v>
      </c>
      <c r="L181" s="29">
        <f t="shared" si="53"/>
        <v>1.609803073110232E-2</v>
      </c>
    </row>
    <row r="182" spans="2:12" outlineLevel="1" x14ac:dyDescent="0.2">
      <c r="B182" s="14" t="s">
        <v>5</v>
      </c>
      <c r="C182" s="29">
        <f t="shared" si="51"/>
        <v>-2.6458051772533527E-2</v>
      </c>
      <c r="D182" s="29">
        <f t="shared" si="51"/>
        <v>-5.8047445586183147E-2</v>
      </c>
      <c r="E182" s="29">
        <f t="shared" si="51"/>
        <v>-3.4890411675472091E-2</v>
      </c>
      <c r="F182" s="29">
        <f t="shared" si="51"/>
        <v>-4.5035519577069222E-2</v>
      </c>
      <c r="G182" s="29">
        <f t="shared" si="51"/>
        <v>-1.8008406078241189E-2</v>
      </c>
      <c r="H182" s="29">
        <f t="shared" si="54"/>
        <v>-3.6487966937899838E-2</v>
      </c>
      <c r="I182" s="29">
        <f t="shared" si="52"/>
        <v>-3.6487966937899838E-2</v>
      </c>
      <c r="J182" s="29">
        <f t="shared" si="53"/>
        <v>-3.6487966937899838E-2</v>
      </c>
      <c r="K182" s="29">
        <f t="shared" si="53"/>
        <v>-3.6487966937899838E-2</v>
      </c>
      <c r="L182" s="29">
        <f t="shared" si="53"/>
        <v>-3.6487966937899838E-2</v>
      </c>
    </row>
    <row r="183" spans="2:12" outlineLevel="1" x14ac:dyDescent="0.2">
      <c r="B183" s="14" t="s">
        <v>14</v>
      </c>
      <c r="C183" s="29">
        <f t="shared" si="51"/>
        <v>-1.899019302075753E-2</v>
      </c>
      <c r="D183" s="29">
        <f t="shared" si="51"/>
        <v>-1.2685985610467751E-3</v>
      </c>
      <c r="E183" s="29">
        <f t="shared" si="51"/>
        <v>-5.353001691339297E-3</v>
      </c>
      <c r="F183" s="29">
        <f t="shared" si="51"/>
        <v>-2.0155294895093344E-3</v>
      </c>
      <c r="G183" s="29">
        <f t="shared" si="51"/>
        <v>-2.7481409634658909E-3</v>
      </c>
      <c r="H183" s="29">
        <f t="shared" si="54"/>
        <v>-6.0750927452237653E-3</v>
      </c>
      <c r="I183" s="29">
        <f t="shared" si="52"/>
        <v>-6.0750927452237653E-3</v>
      </c>
      <c r="J183" s="29">
        <f t="shared" si="53"/>
        <v>-6.0750927452237653E-3</v>
      </c>
      <c r="K183" s="29">
        <f t="shared" si="53"/>
        <v>-6.0750927452237653E-3</v>
      </c>
      <c r="L183" s="29">
        <f t="shared" si="53"/>
        <v>-6.0750927452237653E-3</v>
      </c>
    </row>
    <row r="184" spans="2:12" outlineLevel="1" x14ac:dyDescent="0.2">
      <c r="B184" s="14" t="s">
        <v>34</v>
      </c>
      <c r="C184" s="29">
        <f t="shared" ref="C184:G188" si="55">C146/C$9</f>
        <v>8.6980628616973345E-3</v>
      </c>
      <c r="D184" s="29">
        <f t="shared" si="55"/>
        <v>9.5996665398068101E-2</v>
      </c>
      <c r="E184" s="29">
        <f t="shared" si="55"/>
        <v>2.3922860978884415E-2</v>
      </c>
      <c r="F184" s="29">
        <f t="shared" si="55"/>
        <v>-8.9046753675863215E-3</v>
      </c>
      <c r="G184" s="29">
        <f t="shared" si="55"/>
        <v>1.1720012932428064E-2</v>
      </c>
      <c r="H184" s="29">
        <f t="shared" si="54"/>
        <v>2.6286585360698316E-2</v>
      </c>
      <c r="I184" s="29">
        <f t="shared" si="52"/>
        <v>2.6286585360698316E-2</v>
      </c>
      <c r="J184" s="29">
        <f t="shared" si="53"/>
        <v>2.6286585360698316E-2</v>
      </c>
      <c r="K184" s="29">
        <f t="shared" si="53"/>
        <v>2.6286585360698316E-2</v>
      </c>
      <c r="L184" s="29">
        <f t="shared" si="53"/>
        <v>2.6286585360698316E-2</v>
      </c>
    </row>
    <row r="185" spans="2:12" outlineLevel="1" x14ac:dyDescent="0.2">
      <c r="B185" s="14" t="s">
        <v>7</v>
      </c>
      <c r="C185" s="29">
        <f t="shared" si="55"/>
        <v>5.2153723533284822E-3</v>
      </c>
      <c r="D185" s="29">
        <f t="shared" si="55"/>
        <v>1.6962975044854021E-2</v>
      </c>
      <c r="E185" s="29">
        <f t="shared" si="55"/>
        <v>1.8099074122508763E-2</v>
      </c>
      <c r="F185" s="29">
        <f t="shared" si="55"/>
        <v>5.468362795308112E-3</v>
      </c>
      <c r="G185" s="29">
        <f t="shared" si="55"/>
        <v>-7.4684772065955387E-3</v>
      </c>
      <c r="H185" s="29">
        <f t="shared" si="54"/>
        <v>7.655461421880767E-3</v>
      </c>
      <c r="I185" s="29">
        <f t="shared" si="52"/>
        <v>7.655461421880767E-3</v>
      </c>
      <c r="J185" s="29">
        <f t="shared" si="53"/>
        <v>7.655461421880767E-3</v>
      </c>
      <c r="K185" s="29">
        <f t="shared" si="53"/>
        <v>7.655461421880767E-3</v>
      </c>
      <c r="L185" s="29">
        <f t="shared" si="53"/>
        <v>7.655461421880767E-3</v>
      </c>
    </row>
    <row r="186" spans="2:12" outlineLevel="1" x14ac:dyDescent="0.2">
      <c r="B186" s="14" t="s">
        <v>8</v>
      </c>
      <c r="C186" s="29">
        <f t="shared" si="55"/>
        <v>1.1608968361229511E-3</v>
      </c>
      <c r="D186" s="29">
        <f t="shared" si="55"/>
        <v>-3.7876728465539426E-3</v>
      </c>
      <c r="E186" s="29">
        <f t="shared" si="55"/>
        <v>2.4062352879635927E-3</v>
      </c>
      <c r="F186" s="29">
        <f t="shared" si="55"/>
        <v>1.1729720799603502E-3</v>
      </c>
      <c r="G186" s="29">
        <f t="shared" si="55"/>
        <v>6.3045586808923373E-3</v>
      </c>
      <c r="H186" s="29">
        <f t="shared" si="54"/>
        <v>1.4513980076770578E-3</v>
      </c>
      <c r="I186" s="29">
        <f t="shared" si="52"/>
        <v>1.4513980076770578E-3</v>
      </c>
      <c r="J186" s="29">
        <f t="shared" si="53"/>
        <v>1.4513980076770578E-3</v>
      </c>
      <c r="K186" s="29">
        <f t="shared" si="53"/>
        <v>1.4513980076770578E-3</v>
      </c>
      <c r="L186" s="29">
        <f t="shared" si="53"/>
        <v>1.4513980076770578E-3</v>
      </c>
    </row>
    <row r="187" spans="2:12" outlineLevel="1" x14ac:dyDescent="0.2">
      <c r="B187" s="14" t="s">
        <v>9</v>
      </c>
      <c r="C187" s="29">
        <f t="shared" si="55"/>
        <v>1.4866410229753612E-2</v>
      </c>
      <c r="D187" s="29">
        <f t="shared" si="55"/>
        <v>3.7822359955780281E-2</v>
      </c>
      <c r="E187" s="29">
        <f t="shared" si="55"/>
        <v>-1.169988317553312E-2</v>
      </c>
      <c r="F187" s="29">
        <f t="shared" si="55"/>
        <v>-1.899884354865356E-3</v>
      </c>
      <c r="G187" s="29">
        <f t="shared" si="55"/>
        <v>2.3698674426123504E-2</v>
      </c>
      <c r="H187" s="29">
        <f t="shared" si="54"/>
        <v>1.2557535416251783E-2</v>
      </c>
      <c r="I187" s="29">
        <f t="shared" si="52"/>
        <v>1.2557535416251783E-2</v>
      </c>
      <c r="J187" s="29">
        <f t="shared" si="53"/>
        <v>1.2557535416251783E-2</v>
      </c>
      <c r="K187" s="29">
        <f t="shared" si="53"/>
        <v>1.2557535416251783E-2</v>
      </c>
      <c r="L187" s="29">
        <f t="shared" si="53"/>
        <v>1.2557535416251783E-2</v>
      </c>
    </row>
    <row r="188" spans="2:12" outlineLevel="1" x14ac:dyDescent="0.2">
      <c r="B188" s="14" t="s">
        <v>10</v>
      </c>
      <c r="C188" s="29">
        <f t="shared" si="55"/>
        <v>-8.7153896801469306E-3</v>
      </c>
      <c r="D188" s="29">
        <f t="shared" si="55"/>
        <v>2.500951448920785E-3</v>
      </c>
      <c r="E188" s="29">
        <f t="shared" si="55"/>
        <v>1.4821014454848215E-3</v>
      </c>
      <c r="F188" s="29">
        <f t="shared" si="55"/>
        <v>3.5189162398810508E-3</v>
      </c>
      <c r="G188" s="29">
        <f t="shared" si="55"/>
        <v>1.0507597801487228E-3</v>
      </c>
      <c r="H188" s="29">
        <f t="shared" si="54"/>
        <v>-3.2532153142310037E-5</v>
      </c>
      <c r="I188" s="29">
        <f t="shared" si="52"/>
        <v>-3.2532153142310037E-5</v>
      </c>
      <c r="J188" s="29">
        <f t="shared" si="53"/>
        <v>-3.2532153142310037E-5</v>
      </c>
      <c r="K188" s="29">
        <f t="shared" si="53"/>
        <v>-3.2532153142310037E-5</v>
      </c>
      <c r="L188" s="29">
        <f t="shared" si="53"/>
        <v>-3.2532153142310037E-5</v>
      </c>
    </row>
    <row r="189" spans="2:12" outlineLevel="1" x14ac:dyDescent="0.2">
      <c r="C189" s="10"/>
      <c r="D189" s="10"/>
      <c r="E189" s="10"/>
      <c r="F189" s="10"/>
      <c r="G189" s="10"/>
      <c r="H189" s="10"/>
      <c r="I189" s="10"/>
      <c r="J189" s="29"/>
      <c r="K189" s="10"/>
      <c r="L189" s="10"/>
    </row>
    <row r="190" spans="2:12" outlineLevel="1" x14ac:dyDescent="0.2">
      <c r="B190" s="21" t="s">
        <v>35</v>
      </c>
      <c r="C190" s="10"/>
      <c r="D190" s="10"/>
      <c r="E190" s="10"/>
      <c r="F190" s="10"/>
      <c r="G190" s="10"/>
      <c r="H190" s="10"/>
      <c r="I190" s="10"/>
      <c r="J190" s="10"/>
      <c r="K190" s="10"/>
      <c r="L190" s="10"/>
    </row>
    <row r="191" spans="2:12" outlineLevel="1" x14ac:dyDescent="0.2">
      <c r="B191" s="14" t="s">
        <v>12</v>
      </c>
      <c r="C191" s="29">
        <f>C153/C$9</f>
        <v>-3.960910697577711E-2</v>
      </c>
      <c r="D191" s="29">
        <f>D153/D$9</f>
        <v>-4.7445586183149389E-2</v>
      </c>
      <c r="E191" s="29">
        <f>E153/E$9</f>
        <v>-3.595403741870238E-2</v>
      </c>
      <c r="F191" s="29">
        <f>F153/F$9</f>
        <v>-2.223690731868495E-2</v>
      </c>
      <c r="G191" s="29">
        <f>G153/G$9</f>
        <v>-2.0126091173617848E-2</v>
      </c>
      <c r="H191" s="29">
        <f t="shared" ref="H191:H196" si="56">AVERAGE(C191:G191)</f>
        <v>-3.3074345813986335E-2</v>
      </c>
      <c r="I191" s="29">
        <f t="shared" ref="I191:I198" si="57">H191</f>
        <v>-3.3074345813986335E-2</v>
      </c>
      <c r="J191" s="29">
        <f t="shared" ref="J191:L195" si="58">I191</f>
        <v>-3.3074345813986335E-2</v>
      </c>
      <c r="K191" s="29">
        <f t="shared" si="58"/>
        <v>-3.3074345813986335E-2</v>
      </c>
      <c r="L191" s="29">
        <f t="shared" si="58"/>
        <v>-3.3074345813986335E-2</v>
      </c>
    </row>
    <row r="192" spans="2:12" outlineLevel="1" x14ac:dyDescent="0.2">
      <c r="B192" s="3" t="s">
        <v>13</v>
      </c>
      <c r="C192" s="29">
        <f t="shared" ref="C192:G198" si="59">C155/C$9</f>
        <v>9.3045015074332046E-3</v>
      </c>
      <c r="D192" s="29">
        <f t="shared" si="59"/>
        <v>3.4070932782399102E-3</v>
      </c>
      <c r="E192" s="29">
        <f t="shared" si="59"/>
        <v>6.7479206988544224E-3</v>
      </c>
      <c r="F192" s="29">
        <f t="shared" si="59"/>
        <v>1.8338014207830828E-3</v>
      </c>
      <c r="G192" s="29">
        <f t="shared" si="59"/>
        <v>5.1891367604267697E-3</v>
      </c>
      <c r="H192" s="29">
        <f t="shared" si="56"/>
        <v>5.2964907331474777E-3</v>
      </c>
      <c r="I192" s="29">
        <f t="shared" si="57"/>
        <v>5.2964907331474777E-3</v>
      </c>
      <c r="J192" s="29">
        <f t="shared" si="58"/>
        <v>5.2964907331474777E-3</v>
      </c>
      <c r="K192" s="29">
        <f t="shared" si="58"/>
        <v>5.2964907331474777E-3</v>
      </c>
      <c r="L192" s="29">
        <f t="shared" si="58"/>
        <v>5.2964907331474777E-3</v>
      </c>
    </row>
    <row r="193" spans="2:12" outlineLevel="1" x14ac:dyDescent="0.2">
      <c r="B193" s="14" t="s">
        <v>15</v>
      </c>
      <c r="C193" s="29">
        <f t="shared" si="59"/>
        <v>-1.0759954257199294E-2</v>
      </c>
      <c r="D193" s="29">
        <f t="shared" si="59"/>
        <v>-1.1091175990866091E-2</v>
      </c>
      <c r="E193" s="29">
        <f t="shared" si="59"/>
        <v>-1.2310160241320988E-2</v>
      </c>
      <c r="F193" s="29">
        <f t="shared" si="59"/>
        <v>-1.0341979183875765E-2</v>
      </c>
      <c r="G193" s="29">
        <f t="shared" si="59"/>
        <v>-9.1335273197542845E-3</v>
      </c>
      <c r="H193" s="29">
        <f t="shared" si="56"/>
        <v>-1.0727359398603285E-2</v>
      </c>
      <c r="I193" s="29">
        <f t="shared" si="57"/>
        <v>-1.0727359398603285E-2</v>
      </c>
      <c r="J193" s="29">
        <f t="shared" si="58"/>
        <v>-1.0727359398603285E-2</v>
      </c>
      <c r="K193" s="29">
        <f t="shared" si="58"/>
        <v>-1.0727359398603285E-2</v>
      </c>
      <c r="L193" s="29">
        <f t="shared" si="58"/>
        <v>-1.0727359398603285E-2</v>
      </c>
    </row>
    <row r="194" spans="2:12" outlineLevel="1" x14ac:dyDescent="0.2">
      <c r="B194" s="14" t="s">
        <v>16</v>
      </c>
      <c r="C194" s="29">
        <f t="shared" si="59"/>
        <v>-6.3987940534359078E-2</v>
      </c>
      <c r="D194" s="29">
        <f t="shared" si="59"/>
        <v>-0.1131952373185451</v>
      </c>
      <c r="E194" s="29">
        <f t="shared" si="59"/>
        <v>-6.2091332322017051E-2</v>
      </c>
      <c r="F194" s="29">
        <f t="shared" si="59"/>
        <v>-9.7967949776970098E-2</v>
      </c>
      <c r="G194" s="29">
        <f t="shared" si="59"/>
        <v>-0.18013255738764952</v>
      </c>
      <c r="H194" s="29">
        <f t="shared" si="56"/>
        <v>-0.10347500346790817</v>
      </c>
      <c r="I194" s="29">
        <f t="shared" si="57"/>
        <v>-0.10347500346790817</v>
      </c>
      <c r="J194" s="29">
        <f t="shared" si="58"/>
        <v>-0.10347500346790817</v>
      </c>
      <c r="K194" s="29">
        <f t="shared" si="58"/>
        <v>-0.10347500346790817</v>
      </c>
      <c r="L194" s="29">
        <f t="shared" si="58"/>
        <v>-0.10347500346790817</v>
      </c>
    </row>
    <row r="195" spans="2:12" ht="30" outlineLevel="1" x14ac:dyDescent="0.2">
      <c r="B195" s="14" t="s">
        <v>17</v>
      </c>
      <c r="C195" s="29">
        <f t="shared" si="59"/>
        <v>6.8631527878850879E-2</v>
      </c>
      <c r="D195" s="29">
        <f t="shared" si="59"/>
        <v>0.10181409594229689</v>
      </c>
      <c r="E195" s="29">
        <f t="shared" si="59"/>
        <v>5.4872626458126274E-2</v>
      </c>
      <c r="F195" s="29">
        <f t="shared" si="59"/>
        <v>7.706922187345118E-2</v>
      </c>
      <c r="G195" s="29">
        <f t="shared" si="59"/>
        <v>0.17211445198836081</v>
      </c>
      <c r="H195" s="29">
        <f t="shared" si="56"/>
        <v>9.4900384828217207E-2</v>
      </c>
      <c r="I195" s="29">
        <f t="shared" si="57"/>
        <v>9.4900384828217207E-2</v>
      </c>
      <c r="J195" s="29">
        <f t="shared" si="58"/>
        <v>9.4900384828217207E-2</v>
      </c>
      <c r="K195" s="29">
        <f t="shared" si="58"/>
        <v>9.4900384828217207E-2</v>
      </c>
      <c r="L195" s="29">
        <f t="shared" si="58"/>
        <v>9.4900384828217207E-2</v>
      </c>
    </row>
    <row r="196" spans="2:12" outlineLevel="1" x14ac:dyDescent="0.2">
      <c r="B196" s="14" t="s">
        <v>36</v>
      </c>
      <c r="C196" s="29">
        <f t="shared" si="59"/>
        <v>0.11643621998128703</v>
      </c>
      <c r="D196" s="29">
        <f t="shared" si="59"/>
        <v>8.6083473785316875E-3</v>
      </c>
      <c r="E196" s="29">
        <f t="shared" si="59"/>
        <v>0</v>
      </c>
      <c r="F196" s="29">
        <f t="shared" si="59"/>
        <v>0</v>
      </c>
      <c r="G196" s="29">
        <f t="shared" si="59"/>
        <v>0</v>
      </c>
      <c r="H196" s="29">
        <f t="shared" si="56"/>
        <v>2.5008913471963747E-2</v>
      </c>
      <c r="I196" s="29">
        <f t="shared" si="57"/>
        <v>2.5008913471963747E-2</v>
      </c>
      <c r="J196" s="29">
        <f t="shared" ref="J196:L197" si="60">I196</f>
        <v>2.5008913471963747E-2</v>
      </c>
      <c r="K196" s="29">
        <f t="shared" si="60"/>
        <v>2.5008913471963747E-2</v>
      </c>
      <c r="L196" s="29">
        <f t="shared" si="60"/>
        <v>2.5008913471963747E-2</v>
      </c>
    </row>
    <row r="197" spans="2:12" outlineLevel="1" x14ac:dyDescent="0.2">
      <c r="B197" s="14" t="s">
        <v>18</v>
      </c>
      <c r="C197" s="29">
        <f t="shared" si="59"/>
        <v>-0.56537408601032679</v>
      </c>
      <c r="D197" s="29">
        <f t="shared" si="59"/>
        <v>-6.0892730930245205E-3</v>
      </c>
      <c r="E197" s="29">
        <f t="shared" si="59"/>
        <v>-5.7418353646841377E-2</v>
      </c>
      <c r="F197" s="29">
        <f t="shared" si="59"/>
        <v>-3.87906823062944E-2</v>
      </c>
      <c r="G197" s="29">
        <f t="shared" si="59"/>
        <v>-8.2153249272550924E-2</v>
      </c>
      <c r="H197" s="29">
        <f>FORECAST(H$6,$C197:$G197,$C$6:$G$6)</f>
        <v>0.130156950412877</v>
      </c>
      <c r="I197" s="29">
        <f>H197</f>
        <v>0.130156950412877</v>
      </c>
      <c r="J197" s="29">
        <f t="shared" si="60"/>
        <v>0.130156950412877</v>
      </c>
      <c r="K197" s="29">
        <f t="shared" si="60"/>
        <v>0.130156950412877</v>
      </c>
      <c r="L197" s="29">
        <f t="shared" si="60"/>
        <v>0.130156950412877</v>
      </c>
    </row>
    <row r="198" spans="2:12" outlineLevel="1" x14ac:dyDescent="0.2">
      <c r="B198" s="14" t="s">
        <v>19</v>
      </c>
      <c r="C198" s="29">
        <f t="shared" si="59"/>
        <v>1.8643656651765601E-2</v>
      </c>
      <c r="D198" s="29">
        <f t="shared" si="59"/>
        <v>9.1157868029503979E-3</v>
      </c>
      <c r="E198" s="29">
        <f t="shared" si="59"/>
        <v>1.9877595857090546E-3</v>
      </c>
      <c r="F198" s="29">
        <f t="shared" si="59"/>
        <v>2.1014373038162896E-2</v>
      </c>
      <c r="G198" s="29">
        <f t="shared" si="59"/>
        <v>-6.4662140316844487E-5</v>
      </c>
      <c r="H198" s="29">
        <f>AVERAGE(C198:G198)</f>
        <v>1.013938278765422E-2</v>
      </c>
      <c r="I198" s="29">
        <f t="shared" si="57"/>
        <v>1.013938278765422E-2</v>
      </c>
      <c r="J198" s="29">
        <f>I198</f>
        <v>1.013938278765422E-2</v>
      </c>
      <c r="K198" s="29">
        <f>J198</f>
        <v>1.013938278765422E-2</v>
      </c>
      <c r="L198" s="29">
        <f>K198</f>
        <v>1.013938278765422E-2</v>
      </c>
    </row>
    <row r="199" spans="2:12" outlineLevel="1" x14ac:dyDescent="0.2">
      <c r="C199" s="10"/>
      <c r="D199" s="10"/>
      <c r="E199" s="10"/>
      <c r="F199" s="10"/>
      <c r="G199" s="10"/>
      <c r="H199" s="10"/>
      <c r="I199" s="10"/>
      <c r="J199" s="10"/>
      <c r="K199" s="10"/>
      <c r="L199" s="10"/>
    </row>
    <row r="200" spans="2:12" outlineLevel="1" x14ac:dyDescent="0.2">
      <c r="B200" s="14" t="s">
        <v>21</v>
      </c>
      <c r="C200" s="29">
        <f t="shared" ref="C200:G202" si="61">C164/C$9</f>
        <v>0.55142599715840179</v>
      </c>
      <c r="D200" s="29">
        <f t="shared" si="61"/>
        <v>0.19036227550336179</v>
      </c>
      <c r="E200" s="29">
        <f t="shared" si="61"/>
        <v>9.1018465240361984E-3</v>
      </c>
      <c r="F200" s="29">
        <f t="shared" si="61"/>
        <v>0.12892780439451512</v>
      </c>
      <c r="G200" s="29">
        <f t="shared" si="61"/>
        <v>0.15496281926931782</v>
      </c>
      <c r="H200" s="30">
        <f>AVERAGE(C200:G200)</f>
        <v>0.20695614856992656</v>
      </c>
      <c r="I200" s="30">
        <f t="shared" ref="I200:L202" si="62">H200</f>
        <v>0.20695614856992656</v>
      </c>
      <c r="J200" s="30">
        <f t="shared" si="62"/>
        <v>0.20695614856992656</v>
      </c>
      <c r="K200" s="30">
        <f t="shared" si="62"/>
        <v>0.20695614856992656</v>
      </c>
      <c r="L200" s="30">
        <f t="shared" si="62"/>
        <v>0.20695614856992656</v>
      </c>
    </row>
    <row r="201" spans="2:12" outlineLevel="1" x14ac:dyDescent="0.2">
      <c r="B201" s="14" t="s">
        <v>22</v>
      </c>
      <c r="C201" s="29">
        <f t="shared" si="61"/>
        <v>-0.22427833801157432</v>
      </c>
      <c r="D201" s="29">
        <f t="shared" si="61"/>
        <v>-0.24221171097700211</v>
      </c>
      <c r="E201" s="29">
        <f t="shared" si="61"/>
        <v>-0.14990148384509425</v>
      </c>
      <c r="F201" s="29">
        <f t="shared" si="61"/>
        <v>-0.11234098793986454</v>
      </c>
      <c r="G201" s="29">
        <f t="shared" si="61"/>
        <v>-8.2153249272550924E-2</v>
      </c>
      <c r="H201" s="30">
        <f t="shared" ref="H201:H207" si="63">AVERAGE(C201:G201)</f>
        <v>-0.16217715400921723</v>
      </c>
      <c r="I201" s="30">
        <f t="shared" si="62"/>
        <v>-0.16217715400921723</v>
      </c>
      <c r="J201" s="30">
        <f t="shared" si="62"/>
        <v>-0.16217715400921723</v>
      </c>
      <c r="K201" s="30">
        <f t="shared" si="62"/>
        <v>-0.16217715400921723</v>
      </c>
      <c r="L201" s="30">
        <f t="shared" si="62"/>
        <v>-0.16217715400921723</v>
      </c>
    </row>
    <row r="202" spans="2:12" outlineLevel="1" x14ac:dyDescent="0.2">
      <c r="B202" s="3" t="s">
        <v>23</v>
      </c>
      <c r="C202" s="29">
        <f t="shared" si="61"/>
        <v>-4.4997747513601555E-2</v>
      </c>
      <c r="D202" s="29">
        <f t="shared" si="61"/>
        <v>-1.5458779608184273E-2</v>
      </c>
      <c r="E202" s="29">
        <f t="shared" si="61"/>
        <v>-6.9745950375756311E-4</v>
      </c>
      <c r="F202" s="29">
        <f t="shared" si="61"/>
        <v>3.584999173963324E-3</v>
      </c>
      <c r="G202" s="29">
        <f t="shared" si="61"/>
        <v>-1.1315874555447786E-4</v>
      </c>
      <c r="H202" s="30">
        <f t="shared" si="63"/>
        <v>-1.1536429239426908E-2</v>
      </c>
      <c r="I202" s="30">
        <f t="shared" si="62"/>
        <v>-1.1536429239426908E-2</v>
      </c>
      <c r="J202" s="30">
        <f t="shared" si="62"/>
        <v>-1.1536429239426908E-2</v>
      </c>
      <c r="K202" s="30">
        <f t="shared" si="62"/>
        <v>-1.1536429239426908E-2</v>
      </c>
      <c r="L202" s="30">
        <f t="shared" si="62"/>
        <v>-1.1536429239426908E-2</v>
      </c>
    </row>
    <row r="203" spans="2:12" outlineLevel="1" x14ac:dyDescent="0.2">
      <c r="B203" s="14" t="s">
        <v>24</v>
      </c>
      <c r="C203" s="29">
        <f>C167/C$9</f>
        <v>-2.3581799909900544E-2</v>
      </c>
      <c r="D203" s="29"/>
      <c r="E203" s="29"/>
      <c r="F203" s="29"/>
      <c r="G203" s="29"/>
      <c r="H203" s="30"/>
      <c r="I203" s="10"/>
      <c r="J203" s="10"/>
      <c r="K203" s="10"/>
      <c r="L203" s="10"/>
    </row>
    <row r="204" spans="2:12" outlineLevel="1" x14ac:dyDescent="0.2">
      <c r="B204" s="14" t="s">
        <v>223</v>
      </c>
      <c r="C204" s="29">
        <f>C168/C$9</f>
        <v>-4.7128946182901895E-3</v>
      </c>
      <c r="D204" s="29">
        <f t="shared" ref="D204:G205" si="64">D168/D$9</f>
        <v>-5.4730966490875149E-3</v>
      </c>
      <c r="E204" s="29">
        <f t="shared" si="64"/>
        <v>-5.5622395424665657E-3</v>
      </c>
      <c r="F204" s="29">
        <f t="shared" si="64"/>
        <v>-6.7239385428713031E-3</v>
      </c>
      <c r="G204" s="29">
        <f t="shared" si="64"/>
        <v>-6.4985451018428706E-3</v>
      </c>
      <c r="H204" s="30">
        <f t="shared" si="63"/>
        <v>-5.7941428909116886E-3</v>
      </c>
      <c r="I204" s="30">
        <f t="shared" ref="I204:L205" si="65">H204</f>
        <v>-5.7941428909116886E-3</v>
      </c>
      <c r="J204" s="30">
        <f t="shared" si="65"/>
        <v>-5.7941428909116886E-3</v>
      </c>
      <c r="K204" s="30">
        <f t="shared" si="65"/>
        <v>-5.7941428909116886E-3</v>
      </c>
      <c r="L204" s="30">
        <f t="shared" si="65"/>
        <v>-5.7941428909116886E-3</v>
      </c>
    </row>
    <row r="205" spans="2:12" outlineLevel="1" x14ac:dyDescent="0.2">
      <c r="B205" s="14" t="s">
        <v>225</v>
      </c>
      <c r="C205" s="29">
        <f>C169/C$9</f>
        <v>1.7153550265100322E-3</v>
      </c>
      <c r="D205" s="29">
        <f t="shared" si="64"/>
        <v>1.6673009659471901E-3</v>
      </c>
      <c r="E205" s="29">
        <f t="shared" si="64"/>
        <v>1.2205541315757353E-3</v>
      </c>
      <c r="F205" s="29">
        <f t="shared" si="64"/>
        <v>2.9076490996200232E-3</v>
      </c>
      <c r="G205" s="29">
        <f t="shared" si="64"/>
        <v>2.8451341739411575E-3</v>
      </c>
      <c r="H205" s="30">
        <f t="shared" si="63"/>
        <v>2.0711986795188277E-3</v>
      </c>
      <c r="I205" s="30">
        <f t="shared" si="65"/>
        <v>2.0711986795188277E-3</v>
      </c>
      <c r="J205" s="30">
        <f t="shared" si="65"/>
        <v>2.0711986795188277E-3</v>
      </c>
      <c r="K205" s="30">
        <f t="shared" si="65"/>
        <v>2.0711986795188277E-3</v>
      </c>
      <c r="L205" s="30">
        <f t="shared" si="65"/>
        <v>2.0711986795188277E-3</v>
      </c>
    </row>
    <row r="206" spans="2:12" outlineLevel="1" x14ac:dyDescent="0.2">
      <c r="B206" s="17" t="s">
        <v>47</v>
      </c>
      <c r="C206" s="29"/>
      <c r="D206" s="29"/>
      <c r="E206" s="29">
        <f>E170/E$9</f>
        <v>1.5326672595072449E-2</v>
      </c>
      <c r="F206" s="29"/>
      <c r="G206" s="29"/>
      <c r="H206" s="30"/>
      <c r="I206" s="10"/>
      <c r="J206" s="10"/>
      <c r="K206" s="10"/>
      <c r="L206" s="10"/>
    </row>
    <row r="207" spans="2:12" outlineLevel="1" x14ac:dyDescent="0.2">
      <c r="B207" s="14" t="s">
        <v>25</v>
      </c>
      <c r="C207" s="29">
        <f>C171/C$9</f>
        <v>-9.8884152891846003E-2</v>
      </c>
      <c r="D207" s="29">
        <f>D171/D$9</f>
        <v>-0.10505808369125935</v>
      </c>
      <c r="E207" s="29">
        <f>E171/E$9</f>
        <v>-0.10233474568882844</v>
      </c>
      <c r="F207" s="29">
        <f>F171/F$9</f>
        <v>-9.8265322980340325E-2</v>
      </c>
      <c r="G207" s="29">
        <f>G171/G$9</f>
        <v>-9.7639831878435182E-2</v>
      </c>
      <c r="H207" s="30">
        <f t="shared" si="63"/>
        <v>-0.10043642742614185</v>
      </c>
      <c r="I207" s="30">
        <f>H207</f>
        <v>-0.10043642742614185</v>
      </c>
      <c r="J207" s="30">
        <f>I207</f>
        <v>-0.10043642742614185</v>
      </c>
      <c r="K207" s="30">
        <f>J207</f>
        <v>-0.10043642742614185</v>
      </c>
      <c r="L207" s="30">
        <f>K207</f>
        <v>-0.10043642742614185</v>
      </c>
    </row>
    <row r="208" spans="2:12" outlineLevel="1" x14ac:dyDescent="0.2">
      <c r="C208" s="10"/>
      <c r="D208" s="10"/>
      <c r="E208" s="10"/>
      <c r="F208" s="10"/>
      <c r="G208" s="10"/>
      <c r="H208" s="10"/>
      <c r="I208" s="10"/>
      <c r="J208" s="10"/>
      <c r="K208" s="10"/>
      <c r="L208" s="10"/>
    </row>
    <row r="209" spans="2:12" outlineLevel="1" x14ac:dyDescent="0.2">
      <c r="B209" s="3" t="s">
        <v>26</v>
      </c>
      <c r="C209" s="29">
        <f>C173/C$9</f>
        <v>-2.8935786810825796E-3</v>
      </c>
      <c r="D209" s="29">
        <f>D173/D$9</f>
        <v>-1.5766867830152775E-3</v>
      </c>
      <c r="E209" s="29">
        <f>E173/E$9</f>
        <v>-3.2257502048787293E-3</v>
      </c>
      <c r="F209" s="29">
        <f>F173/F$9</f>
        <v>-4.0310589790186688E-3</v>
      </c>
      <c r="G209" s="29">
        <f>G173/G$9</f>
        <v>1.4548981571290009E-4</v>
      </c>
      <c r="H209" s="30">
        <f>AVERAGE(C209:G209)</f>
        <v>-2.316316966456471E-3</v>
      </c>
      <c r="I209" s="30">
        <f>H209</f>
        <v>-2.316316966456471E-3</v>
      </c>
      <c r="J209" s="30">
        <f>I209</f>
        <v>-2.316316966456471E-3</v>
      </c>
      <c r="K209" s="30">
        <f>J209</f>
        <v>-2.316316966456471E-3</v>
      </c>
      <c r="L209" s="30">
        <f>K209</f>
        <v>-2.316316966456471E-3</v>
      </c>
    </row>
    <row r="210" spans="2:12" outlineLevel="1" x14ac:dyDescent="0.2">
      <c r="C210" s="10"/>
      <c r="D210" s="10"/>
      <c r="E210" s="10"/>
      <c r="F210" s="10"/>
      <c r="G210" s="10"/>
      <c r="H210" s="10"/>
      <c r="I210" s="10"/>
      <c r="J210" s="10"/>
      <c r="K210" s="10"/>
      <c r="L210" s="10"/>
    </row>
    <row r="211" spans="2:12" x14ac:dyDescent="0.2">
      <c r="C211" s="10"/>
      <c r="D211" s="10"/>
      <c r="E211" s="10"/>
      <c r="F211" s="10"/>
      <c r="G211" s="10"/>
      <c r="H211" s="10"/>
      <c r="I211" s="10"/>
      <c r="J211" s="10"/>
      <c r="K211" s="10"/>
      <c r="L211" s="10"/>
    </row>
    <row r="212" spans="2:12" x14ac:dyDescent="0.2">
      <c r="C212" s="10"/>
      <c r="D212" s="10"/>
      <c r="E212" s="10"/>
      <c r="F212" s="10"/>
      <c r="G212" s="10"/>
      <c r="H212" s="10"/>
      <c r="I212" s="10"/>
      <c r="J212" s="10"/>
      <c r="K212" s="10"/>
      <c r="L212" s="10"/>
    </row>
    <row r="213" spans="2:12" x14ac:dyDescent="0.2">
      <c r="C213" s="10"/>
      <c r="D213" s="10"/>
      <c r="E213" s="10"/>
      <c r="F213" s="10"/>
      <c r="G213" s="10"/>
      <c r="H213" s="10"/>
      <c r="I213" s="10"/>
      <c r="J213" s="10"/>
      <c r="K213" s="10"/>
      <c r="L213" s="10"/>
    </row>
    <row r="214" spans="2:12" x14ac:dyDescent="0.2">
      <c r="C214" s="10"/>
      <c r="D214" s="10"/>
      <c r="E214" s="10"/>
      <c r="F214" s="10"/>
      <c r="G214" s="10"/>
      <c r="H214" s="10"/>
      <c r="I214" s="10"/>
      <c r="J214" s="10"/>
      <c r="K214" s="10"/>
      <c r="L214" s="10"/>
    </row>
    <row r="215" spans="2:12" x14ac:dyDescent="0.2">
      <c r="C215" s="10"/>
      <c r="D215" s="10"/>
      <c r="E215" s="10"/>
      <c r="F215" s="10"/>
      <c r="G215" s="10"/>
      <c r="H215" s="10"/>
      <c r="I215" s="10"/>
      <c r="J215" s="10"/>
      <c r="K215" s="10"/>
      <c r="L215" s="10"/>
    </row>
    <row r="216" spans="2:12" x14ac:dyDescent="0.2">
      <c r="C216" s="10"/>
      <c r="D216" s="10"/>
      <c r="E216" s="10"/>
      <c r="F216" s="10"/>
      <c r="G216" s="10"/>
      <c r="H216" s="10"/>
      <c r="I216" s="10"/>
      <c r="J216" s="10"/>
      <c r="K216" s="10"/>
      <c r="L216" s="10"/>
    </row>
    <row r="217" spans="2:12" x14ac:dyDescent="0.2">
      <c r="C217" s="10"/>
      <c r="D217" s="10"/>
      <c r="E217" s="10"/>
      <c r="F217" s="10"/>
      <c r="G217" s="10"/>
      <c r="H217" s="10"/>
      <c r="I217" s="10"/>
      <c r="J217" s="10"/>
      <c r="K217" s="10"/>
      <c r="L217" s="10"/>
    </row>
    <row r="218" spans="2:12" x14ac:dyDescent="0.2">
      <c r="C218" s="10"/>
      <c r="D218" s="10"/>
      <c r="E218" s="10"/>
      <c r="F218" s="10"/>
      <c r="G218" s="10"/>
      <c r="H218" s="10"/>
      <c r="I218" s="10"/>
      <c r="J218" s="10"/>
      <c r="K218" s="10"/>
      <c r="L218" s="10"/>
    </row>
    <row r="219" spans="2:12" x14ac:dyDescent="0.2">
      <c r="C219" s="10"/>
      <c r="D219" s="10"/>
      <c r="E219" s="10"/>
      <c r="F219" s="10"/>
      <c r="G219" s="10"/>
      <c r="H219" s="10"/>
      <c r="I219" s="10"/>
      <c r="J219" s="10"/>
      <c r="K219" s="10"/>
      <c r="L219" s="10"/>
    </row>
    <row r="220" spans="2:12" x14ac:dyDescent="0.2">
      <c r="C220" s="10"/>
      <c r="D220" s="10"/>
      <c r="E220" s="10"/>
      <c r="F220" s="10"/>
      <c r="G220" s="10"/>
      <c r="H220" s="10"/>
      <c r="I220" s="10"/>
      <c r="J220" s="10"/>
      <c r="K220" s="10"/>
      <c r="L220" s="10"/>
    </row>
    <row r="221" spans="2:12" x14ac:dyDescent="0.2">
      <c r="C221" s="10"/>
      <c r="D221" s="10"/>
      <c r="E221" s="10"/>
      <c r="F221" s="10"/>
      <c r="G221" s="10"/>
      <c r="H221" s="10"/>
      <c r="I221" s="10"/>
      <c r="J221" s="10"/>
      <c r="K221" s="10"/>
      <c r="L221" s="10"/>
    </row>
    <row r="222" spans="2:12" x14ac:dyDescent="0.2">
      <c r="C222" s="10"/>
      <c r="D222" s="10"/>
      <c r="E222" s="10"/>
      <c r="F222" s="10"/>
      <c r="G222" s="10"/>
      <c r="H222" s="10"/>
      <c r="I222" s="10"/>
      <c r="J222" s="10"/>
      <c r="K222" s="10"/>
      <c r="L222" s="10"/>
    </row>
    <row r="223" spans="2:12" x14ac:dyDescent="0.2">
      <c r="C223" s="10"/>
      <c r="D223" s="10"/>
      <c r="E223" s="10"/>
      <c r="F223" s="10"/>
      <c r="G223" s="10"/>
      <c r="H223" s="10"/>
      <c r="I223" s="10"/>
      <c r="J223" s="10"/>
      <c r="K223" s="10"/>
      <c r="L223" s="10"/>
    </row>
    <row r="224" spans="2:12" x14ac:dyDescent="0.2">
      <c r="C224" s="10"/>
      <c r="D224" s="10"/>
      <c r="E224" s="10"/>
      <c r="F224" s="10"/>
      <c r="G224" s="10"/>
      <c r="H224" s="10"/>
      <c r="I224" s="10"/>
      <c r="J224" s="10"/>
      <c r="K224" s="10"/>
      <c r="L224" s="10"/>
    </row>
    <row r="225" spans="3:12" x14ac:dyDescent="0.2">
      <c r="C225" s="10"/>
      <c r="D225" s="10"/>
      <c r="E225" s="10"/>
      <c r="F225" s="10"/>
      <c r="G225" s="10"/>
      <c r="H225" s="10"/>
      <c r="I225" s="10"/>
      <c r="J225" s="10"/>
      <c r="K225" s="10"/>
      <c r="L225" s="10"/>
    </row>
    <row r="226" spans="3:12" x14ac:dyDescent="0.2">
      <c r="C226" s="10"/>
      <c r="D226" s="10"/>
      <c r="E226" s="10"/>
      <c r="F226" s="10"/>
      <c r="G226" s="10"/>
      <c r="H226" s="10"/>
      <c r="I226" s="10"/>
      <c r="J226" s="10"/>
      <c r="K226" s="10"/>
      <c r="L226" s="10"/>
    </row>
    <row r="227" spans="3:12" x14ac:dyDescent="0.2">
      <c r="C227" s="10"/>
      <c r="D227" s="10"/>
      <c r="E227" s="10"/>
      <c r="F227" s="10"/>
      <c r="G227" s="10"/>
      <c r="H227" s="10"/>
      <c r="I227" s="10"/>
      <c r="J227" s="10"/>
      <c r="K227" s="10"/>
      <c r="L227" s="10"/>
    </row>
    <row r="228" spans="3:12" x14ac:dyDescent="0.2">
      <c r="C228" s="10"/>
      <c r="D228" s="10"/>
      <c r="E228" s="10"/>
      <c r="F228" s="10"/>
      <c r="G228" s="10"/>
      <c r="H228" s="10"/>
      <c r="I228" s="10"/>
      <c r="J228" s="10"/>
      <c r="K228" s="10"/>
      <c r="L228" s="10"/>
    </row>
    <row r="229" spans="3:12" x14ac:dyDescent="0.2">
      <c r="C229" s="10"/>
      <c r="D229" s="10"/>
      <c r="E229" s="10"/>
      <c r="F229" s="10"/>
      <c r="G229" s="10"/>
      <c r="H229" s="10"/>
      <c r="I229" s="10"/>
      <c r="J229" s="10"/>
      <c r="K229" s="10"/>
      <c r="L229" s="10"/>
    </row>
    <row r="230" spans="3:12" x14ac:dyDescent="0.2">
      <c r="C230" s="10"/>
      <c r="D230" s="10"/>
      <c r="E230" s="10"/>
      <c r="F230" s="10"/>
      <c r="G230" s="10"/>
      <c r="H230" s="10"/>
      <c r="I230" s="10"/>
      <c r="J230" s="10"/>
      <c r="K230" s="10"/>
      <c r="L230" s="10"/>
    </row>
    <row r="231" spans="3:12" x14ac:dyDescent="0.2">
      <c r="C231" s="10"/>
      <c r="D231" s="10"/>
      <c r="E231" s="10"/>
      <c r="F231" s="10"/>
      <c r="G231" s="10"/>
      <c r="H231" s="10"/>
      <c r="I231" s="10"/>
      <c r="J231" s="10"/>
      <c r="K231" s="10"/>
      <c r="L231" s="10"/>
    </row>
    <row r="232" spans="3:12" x14ac:dyDescent="0.2">
      <c r="C232" s="10"/>
      <c r="D232" s="10"/>
      <c r="E232" s="10"/>
      <c r="F232" s="10"/>
      <c r="G232" s="10"/>
      <c r="H232" s="10"/>
      <c r="I232" s="10"/>
      <c r="J232" s="10"/>
      <c r="K232" s="10"/>
      <c r="L232" s="10"/>
    </row>
    <row r="233" spans="3:12" x14ac:dyDescent="0.2">
      <c r="C233" s="10"/>
      <c r="D233" s="10"/>
      <c r="E233" s="10"/>
      <c r="F233" s="10"/>
      <c r="G233" s="10"/>
      <c r="H233" s="10"/>
      <c r="I233" s="10"/>
      <c r="J233" s="10"/>
      <c r="K233" s="10"/>
      <c r="L233" s="10"/>
    </row>
    <row r="234" spans="3:12" x14ac:dyDescent="0.2">
      <c r="C234" s="10"/>
      <c r="D234" s="10"/>
      <c r="E234" s="10"/>
      <c r="F234" s="10"/>
      <c r="G234" s="10"/>
      <c r="H234" s="10"/>
      <c r="I234" s="10"/>
      <c r="J234" s="10"/>
      <c r="K234" s="10"/>
      <c r="L234" s="10"/>
    </row>
    <row r="235" spans="3:12" x14ac:dyDescent="0.2">
      <c r="C235" s="10"/>
      <c r="D235" s="10"/>
      <c r="E235" s="10"/>
      <c r="F235" s="10"/>
      <c r="G235" s="10"/>
      <c r="H235" s="10"/>
      <c r="I235" s="10"/>
      <c r="J235" s="10"/>
      <c r="K235" s="10"/>
      <c r="L235" s="10"/>
    </row>
    <row r="236" spans="3:12" x14ac:dyDescent="0.2">
      <c r="C236" s="10"/>
      <c r="D236" s="10"/>
      <c r="E236" s="10"/>
      <c r="F236" s="10"/>
      <c r="G236" s="10"/>
      <c r="H236" s="10"/>
      <c r="I236" s="10"/>
      <c r="J236" s="10"/>
      <c r="K236" s="10"/>
      <c r="L236" s="10"/>
    </row>
    <row r="237" spans="3:12" x14ac:dyDescent="0.2">
      <c r="C237" s="10"/>
      <c r="D237" s="10"/>
      <c r="E237" s="10"/>
      <c r="F237" s="10"/>
      <c r="G237" s="10"/>
      <c r="H237" s="10"/>
      <c r="I237" s="10"/>
      <c r="J237" s="10"/>
      <c r="K237" s="10"/>
      <c r="L237" s="10"/>
    </row>
    <row r="238" spans="3:12" x14ac:dyDescent="0.2">
      <c r="C238" s="10"/>
      <c r="D238" s="10"/>
      <c r="E238" s="10"/>
      <c r="F238" s="10"/>
      <c r="G238" s="10"/>
      <c r="H238" s="10"/>
      <c r="I238" s="10"/>
      <c r="J238" s="10"/>
      <c r="K238" s="10"/>
      <c r="L238" s="10"/>
    </row>
    <row r="239" spans="3:12" x14ac:dyDescent="0.2">
      <c r="C239" s="10"/>
      <c r="D239" s="10"/>
      <c r="E239" s="10"/>
      <c r="F239" s="10"/>
      <c r="G239" s="10"/>
      <c r="H239" s="10"/>
      <c r="I239" s="10"/>
      <c r="J239" s="10"/>
      <c r="K239" s="10"/>
      <c r="L239" s="10"/>
    </row>
    <row r="240" spans="3:12" x14ac:dyDescent="0.2">
      <c r="C240" s="10"/>
      <c r="D240" s="10"/>
      <c r="E240" s="10"/>
      <c r="F240" s="10"/>
      <c r="G240" s="10"/>
      <c r="H240" s="10"/>
      <c r="I240" s="10"/>
      <c r="J240" s="10"/>
      <c r="K240" s="10"/>
      <c r="L240" s="10"/>
    </row>
    <row r="241" spans="3:12" x14ac:dyDescent="0.2">
      <c r="C241" s="10"/>
      <c r="D241" s="10"/>
      <c r="E241" s="10"/>
      <c r="F241" s="10"/>
      <c r="G241" s="10"/>
      <c r="H241" s="10"/>
      <c r="I241" s="10"/>
      <c r="J241" s="10"/>
      <c r="K241" s="10"/>
      <c r="L241" s="10"/>
    </row>
    <row r="242" spans="3:12" x14ac:dyDescent="0.2">
      <c r="C242" s="10"/>
      <c r="D242" s="10"/>
      <c r="E242" s="10"/>
      <c r="F242" s="10"/>
      <c r="G242" s="10"/>
      <c r="H242" s="10"/>
      <c r="I242" s="10"/>
      <c r="J242" s="10"/>
      <c r="K242" s="10"/>
      <c r="L242" s="10"/>
    </row>
    <row r="243" spans="3:12" x14ac:dyDescent="0.2">
      <c r="C243" s="10"/>
      <c r="D243" s="10"/>
      <c r="E243" s="10"/>
      <c r="F243" s="10"/>
      <c r="G243" s="10"/>
      <c r="H243" s="10"/>
      <c r="I243" s="10"/>
      <c r="J243" s="10"/>
      <c r="K243" s="10"/>
      <c r="L243" s="10"/>
    </row>
    <row r="244" spans="3:12" x14ac:dyDescent="0.2">
      <c r="C244" s="10"/>
      <c r="D244" s="10"/>
      <c r="E244" s="10"/>
      <c r="F244" s="10"/>
      <c r="G244" s="10"/>
      <c r="H244" s="10"/>
      <c r="I244" s="10"/>
      <c r="J244" s="10"/>
      <c r="K244" s="10"/>
      <c r="L244" s="10"/>
    </row>
    <row r="245" spans="3:12" x14ac:dyDescent="0.2">
      <c r="C245" s="10"/>
      <c r="D245" s="10"/>
      <c r="E245" s="10"/>
      <c r="F245" s="10"/>
      <c r="G245" s="10"/>
      <c r="H245" s="10"/>
      <c r="I245" s="10"/>
      <c r="J245" s="10"/>
      <c r="K245" s="10"/>
      <c r="L245" s="10"/>
    </row>
    <row r="246" spans="3:12" x14ac:dyDescent="0.2">
      <c r="C246" s="10"/>
      <c r="D246" s="10"/>
      <c r="E246" s="10"/>
      <c r="F246" s="10"/>
      <c r="G246" s="10"/>
      <c r="H246" s="10"/>
      <c r="I246" s="10"/>
      <c r="J246" s="10"/>
      <c r="K246" s="10"/>
      <c r="L246" s="10"/>
    </row>
    <row r="247" spans="3:12" x14ac:dyDescent="0.2">
      <c r="C247" s="10"/>
      <c r="D247" s="10"/>
      <c r="E247" s="10"/>
      <c r="F247" s="10"/>
      <c r="G247" s="10"/>
      <c r="H247" s="10"/>
      <c r="I247" s="10"/>
      <c r="J247" s="10"/>
      <c r="K247" s="10"/>
      <c r="L247" s="10"/>
    </row>
    <row r="248" spans="3:12" x14ac:dyDescent="0.2">
      <c r="C248" s="10"/>
      <c r="D248" s="10"/>
      <c r="E248" s="10"/>
      <c r="F248" s="10"/>
      <c r="G248" s="10"/>
      <c r="H248" s="10"/>
      <c r="I248" s="10"/>
      <c r="J248" s="10"/>
      <c r="K248" s="10"/>
      <c r="L248" s="10"/>
    </row>
    <row r="249" spans="3:12" x14ac:dyDescent="0.2">
      <c r="C249" s="10"/>
      <c r="D249" s="10"/>
      <c r="E249" s="10"/>
      <c r="F249" s="10"/>
      <c r="G249" s="10"/>
      <c r="H249" s="10"/>
      <c r="I249" s="10"/>
      <c r="J249" s="10"/>
      <c r="K249" s="10"/>
      <c r="L249" s="10"/>
    </row>
    <row r="250" spans="3:12" x14ac:dyDescent="0.2">
      <c r="C250" s="10"/>
      <c r="D250" s="10"/>
      <c r="E250" s="10"/>
      <c r="F250" s="10"/>
      <c r="G250" s="10"/>
      <c r="H250" s="10"/>
      <c r="I250" s="10"/>
      <c r="J250" s="10"/>
      <c r="K250" s="10"/>
      <c r="L250" s="10"/>
    </row>
    <row r="251" spans="3:12" x14ac:dyDescent="0.2">
      <c r="C251" s="10"/>
      <c r="D251" s="10"/>
      <c r="E251" s="10"/>
      <c r="F251" s="10"/>
      <c r="G251" s="10"/>
      <c r="H251" s="10"/>
      <c r="I251" s="10"/>
      <c r="J251" s="10"/>
      <c r="K251" s="10"/>
      <c r="L251" s="10"/>
    </row>
    <row r="252" spans="3:12" x14ac:dyDescent="0.2">
      <c r="C252" s="10"/>
      <c r="D252" s="10"/>
      <c r="E252" s="10"/>
      <c r="F252" s="10"/>
      <c r="G252" s="10"/>
      <c r="H252" s="10"/>
      <c r="I252" s="10"/>
      <c r="J252" s="10"/>
      <c r="K252" s="10"/>
      <c r="L252" s="10"/>
    </row>
    <row r="253" spans="3:12" x14ac:dyDescent="0.2">
      <c r="C253" s="10"/>
      <c r="D253" s="10"/>
      <c r="E253" s="10"/>
      <c r="F253" s="10"/>
      <c r="G253" s="10"/>
      <c r="H253" s="10"/>
      <c r="I253" s="10"/>
      <c r="J253" s="10"/>
      <c r="K253" s="10"/>
      <c r="L253" s="10"/>
    </row>
    <row r="254" spans="3:12" x14ac:dyDescent="0.2">
      <c r="C254" s="10"/>
      <c r="D254" s="10"/>
      <c r="E254" s="10"/>
      <c r="F254" s="10"/>
      <c r="G254" s="10"/>
      <c r="H254" s="10"/>
      <c r="I254" s="10"/>
      <c r="J254" s="10"/>
      <c r="K254" s="10"/>
      <c r="L254" s="10"/>
    </row>
    <row r="255" spans="3:12" x14ac:dyDescent="0.2">
      <c r="C255" s="10"/>
      <c r="D255" s="10"/>
      <c r="E255" s="10"/>
      <c r="F255" s="10"/>
      <c r="G255" s="10"/>
      <c r="H255" s="10"/>
      <c r="I255" s="10"/>
      <c r="J255" s="10"/>
      <c r="K255" s="10"/>
      <c r="L255" s="10"/>
    </row>
    <row r="256" spans="3:12" x14ac:dyDescent="0.2">
      <c r="C256" s="10"/>
      <c r="D256" s="10"/>
      <c r="E256" s="10"/>
      <c r="F256" s="10"/>
      <c r="G256" s="10"/>
      <c r="H256" s="10"/>
      <c r="I256" s="10"/>
      <c r="J256" s="10"/>
      <c r="K256" s="10"/>
      <c r="L256" s="10"/>
    </row>
    <row r="257" spans="3:12" x14ac:dyDescent="0.2">
      <c r="C257" s="10"/>
      <c r="D257" s="10"/>
      <c r="E257" s="10"/>
      <c r="F257" s="10"/>
      <c r="G257" s="10"/>
      <c r="H257" s="10"/>
      <c r="I257" s="10"/>
      <c r="J257" s="10"/>
      <c r="K257" s="10"/>
      <c r="L257" s="10"/>
    </row>
    <row r="258" spans="3:12" x14ac:dyDescent="0.2">
      <c r="C258" s="10"/>
      <c r="D258" s="10"/>
      <c r="E258" s="10"/>
      <c r="F258" s="10"/>
      <c r="G258" s="10"/>
      <c r="H258" s="10"/>
      <c r="I258" s="10"/>
      <c r="J258" s="10"/>
      <c r="K258" s="10"/>
      <c r="L258" s="10"/>
    </row>
    <row r="259" spans="3:12" x14ac:dyDescent="0.2">
      <c r="C259" s="10"/>
      <c r="D259" s="10"/>
      <c r="E259" s="10"/>
      <c r="F259" s="10"/>
      <c r="G259" s="10"/>
      <c r="H259" s="10"/>
      <c r="I259" s="10"/>
      <c r="J259" s="10"/>
      <c r="K259" s="10"/>
      <c r="L259" s="10"/>
    </row>
    <row r="260" spans="3:12" x14ac:dyDescent="0.2">
      <c r="C260" s="10"/>
      <c r="D260" s="10"/>
      <c r="E260" s="10"/>
      <c r="F260" s="10"/>
      <c r="G260" s="10"/>
      <c r="H260" s="10"/>
      <c r="I260" s="10"/>
      <c r="J260" s="10"/>
      <c r="K260" s="10"/>
      <c r="L260" s="10"/>
    </row>
    <row r="261" spans="3:12" x14ac:dyDescent="0.2">
      <c r="C261" s="10"/>
      <c r="D261" s="10"/>
      <c r="E261" s="10"/>
      <c r="F261" s="10"/>
      <c r="G261" s="10"/>
      <c r="H261" s="10"/>
      <c r="I261" s="10"/>
      <c r="J261" s="10"/>
      <c r="K261" s="10"/>
      <c r="L261" s="10"/>
    </row>
    <row r="262" spans="3:12" x14ac:dyDescent="0.2">
      <c r="C262" s="10"/>
      <c r="D262" s="10"/>
      <c r="E262" s="10"/>
      <c r="F262" s="10"/>
      <c r="G262" s="10"/>
      <c r="H262" s="10"/>
      <c r="I262" s="10"/>
      <c r="J262" s="10"/>
      <c r="K262" s="10"/>
      <c r="L262" s="10"/>
    </row>
    <row r="263" spans="3:12" x14ac:dyDescent="0.2">
      <c r="C263" s="10"/>
      <c r="D263" s="10"/>
      <c r="E263" s="10"/>
      <c r="F263" s="10"/>
      <c r="G263" s="10"/>
      <c r="H263" s="10"/>
      <c r="I263" s="10"/>
      <c r="J263" s="10"/>
      <c r="K263" s="10"/>
      <c r="L263" s="10"/>
    </row>
    <row r="264" spans="3:12" x14ac:dyDescent="0.2">
      <c r="C264" s="10"/>
      <c r="D264" s="10"/>
      <c r="E264" s="10"/>
      <c r="F264" s="10"/>
      <c r="G264" s="10"/>
      <c r="H264" s="10"/>
      <c r="I264" s="10"/>
      <c r="J264" s="10"/>
      <c r="K264" s="10"/>
      <c r="L264" s="10"/>
    </row>
    <row r="265" spans="3:12" x14ac:dyDescent="0.2">
      <c r="C265" s="10"/>
      <c r="D265" s="10"/>
      <c r="E265" s="10"/>
      <c r="F265" s="10"/>
      <c r="G265" s="10"/>
      <c r="H265" s="10"/>
      <c r="I265" s="10"/>
      <c r="J265" s="10"/>
      <c r="K265" s="10"/>
      <c r="L265" s="10"/>
    </row>
    <row r="266" spans="3:12" x14ac:dyDescent="0.2">
      <c r="C266" s="10"/>
      <c r="D266" s="10"/>
      <c r="E266" s="10"/>
      <c r="F266" s="10"/>
      <c r="G266" s="10"/>
      <c r="H266" s="10"/>
      <c r="I266" s="10"/>
      <c r="J266" s="10"/>
      <c r="K266" s="10"/>
      <c r="L266" s="10"/>
    </row>
    <row r="267" spans="3:12" x14ac:dyDescent="0.2">
      <c r="C267" s="10"/>
      <c r="D267" s="10"/>
      <c r="E267" s="10"/>
      <c r="F267" s="10"/>
      <c r="G267" s="10"/>
      <c r="H267" s="10"/>
      <c r="I267" s="10"/>
      <c r="J267" s="10"/>
      <c r="K267" s="10"/>
      <c r="L267" s="10"/>
    </row>
    <row r="268" spans="3:12" x14ac:dyDescent="0.2">
      <c r="C268" s="10"/>
      <c r="D268" s="10"/>
      <c r="E268" s="10"/>
      <c r="F268" s="10"/>
      <c r="G268" s="10"/>
      <c r="H268" s="10"/>
      <c r="I268" s="10"/>
      <c r="J268" s="10"/>
      <c r="K268" s="10"/>
      <c r="L268" s="10"/>
    </row>
    <row r="269" spans="3:12" x14ac:dyDescent="0.2">
      <c r="C269" s="10"/>
      <c r="D269" s="10"/>
      <c r="E269" s="10"/>
      <c r="F269" s="10"/>
      <c r="G269" s="10"/>
      <c r="H269" s="10"/>
      <c r="I269" s="10"/>
      <c r="J269" s="10"/>
      <c r="K269" s="10"/>
      <c r="L269" s="10"/>
    </row>
    <row r="270" spans="3:12" x14ac:dyDescent="0.2">
      <c r="C270" s="10"/>
      <c r="D270" s="10"/>
      <c r="E270" s="10"/>
      <c r="F270" s="10"/>
      <c r="G270" s="10"/>
      <c r="H270" s="10"/>
      <c r="I270" s="10"/>
      <c r="J270" s="10"/>
      <c r="K270" s="10"/>
      <c r="L270" s="10"/>
    </row>
    <row r="271" spans="3:12" x14ac:dyDescent="0.2">
      <c r="C271" s="10"/>
      <c r="D271" s="10"/>
      <c r="E271" s="10"/>
      <c r="F271" s="10"/>
      <c r="G271" s="10"/>
      <c r="H271" s="10"/>
      <c r="I271" s="10"/>
      <c r="J271" s="10"/>
      <c r="K271" s="10"/>
      <c r="L271" s="10"/>
    </row>
    <row r="272" spans="3:12" x14ac:dyDescent="0.2">
      <c r="C272" s="10"/>
      <c r="D272" s="10"/>
      <c r="E272" s="10"/>
      <c r="F272" s="10"/>
      <c r="G272" s="10"/>
      <c r="H272" s="10"/>
      <c r="I272" s="10"/>
      <c r="J272" s="10"/>
      <c r="K272" s="10"/>
      <c r="L272" s="10"/>
    </row>
    <row r="273" spans="3:12" x14ac:dyDescent="0.2">
      <c r="C273" s="10"/>
      <c r="D273" s="10"/>
      <c r="E273" s="10"/>
      <c r="F273" s="10"/>
      <c r="G273" s="10"/>
      <c r="H273" s="10"/>
      <c r="I273" s="10"/>
      <c r="J273" s="10"/>
      <c r="K273" s="10"/>
      <c r="L273" s="10"/>
    </row>
    <row r="274" spans="3:12" x14ac:dyDescent="0.2">
      <c r="C274" s="10"/>
      <c r="D274" s="10"/>
      <c r="E274" s="10"/>
      <c r="F274" s="10"/>
      <c r="G274" s="10"/>
      <c r="H274" s="10"/>
      <c r="I274" s="10"/>
      <c r="J274" s="10"/>
      <c r="K274" s="10"/>
      <c r="L274" s="10"/>
    </row>
    <row r="275" spans="3:12" x14ac:dyDescent="0.2">
      <c r="C275" s="10"/>
      <c r="D275" s="10"/>
      <c r="E275" s="10"/>
      <c r="F275" s="10"/>
      <c r="G275" s="10"/>
      <c r="H275" s="10"/>
      <c r="I275" s="10"/>
      <c r="J275" s="10"/>
      <c r="K275" s="10"/>
      <c r="L275" s="10"/>
    </row>
    <row r="276" spans="3:12" x14ac:dyDescent="0.2">
      <c r="C276" s="10"/>
      <c r="D276" s="10"/>
      <c r="E276" s="10"/>
      <c r="F276" s="10"/>
      <c r="G276" s="10"/>
      <c r="H276" s="10"/>
      <c r="I276" s="10"/>
      <c r="J276" s="10"/>
      <c r="K276" s="10"/>
      <c r="L276" s="10"/>
    </row>
    <row r="277" spans="3:12" x14ac:dyDescent="0.2">
      <c r="C277" s="10"/>
      <c r="D277" s="10"/>
      <c r="E277" s="10"/>
      <c r="F277" s="10"/>
      <c r="G277" s="10"/>
      <c r="H277" s="10"/>
      <c r="I277" s="10"/>
      <c r="J277" s="10"/>
      <c r="K277" s="10"/>
      <c r="L277" s="10"/>
    </row>
    <row r="278" spans="3:12" x14ac:dyDescent="0.2">
      <c r="C278" s="10"/>
      <c r="D278" s="10"/>
      <c r="E278" s="10"/>
      <c r="F278" s="10"/>
      <c r="G278" s="10"/>
      <c r="H278" s="10"/>
      <c r="I278" s="10"/>
      <c r="J278" s="10"/>
      <c r="K278" s="10"/>
      <c r="L278" s="10"/>
    </row>
    <row r="279" spans="3:12" x14ac:dyDescent="0.2">
      <c r="C279" s="10"/>
      <c r="D279" s="10"/>
      <c r="E279" s="10"/>
      <c r="F279" s="10"/>
      <c r="G279" s="10"/>
      <c r="H279" s="10"/>
      <c r="I279" s="10"/>
      <c r="J279" s="10"/>
      <c r="K279" s="10"/>
      <c r="L279" s="10"/>
    </row>
    <row r="280" spans="3:12" x14ac:dyDescent="0.2">
      <c r="C280" s="10"/>
      <c r="D280" s="10"/>
      <c r="E280" s="10"/>
      <c r="F280" s="10"/>
      <c r="G280" s="10"/>
      <c r="H280" s="10"/>
      <c r="I280" s="10"/>
      <c r="J280" s="10"/>
      <c r="K280" s="10"/>
      <c r="L280" s="10"/>
    </row>
    <row r="281" spans="3:12" x14ac:dyDescent="0.2">
      <c r="C281" s="10"/>
      <c r="D281" s="10"/>
      <c r="E281" s="10"/>
      <c r="F281" s="10"/>
      <c r="G281" s="10"/>
      <c r="H281" s="10"/>
      <c r="I281" s="10"/>
      <c r="J281" s="10"/>
      <c r="K281" s="10"/>
      <c r="L281" s="10"/>
    </row>
    <row r="282" spans="3:12" x14ac:dyDescent="0.2">
      <c r="C282" s="10"/>
      <c r="D282" s="10"/>
      <c r="E282" s="10"/>
      <c r="F282" s="10"/>
      <c r="G282" s="10"/>
      <c r="H282" s="10"/>
      <c r="I282" s="10"/>
      <c r="J282" s="10"/>
      <c r="K282" s="10"/>
      <c r="L282" s="10"/>
    </row>
    <row r="283" spans="3:12" x14ac:dyDescent="0.2">
      <c r="C283" s="10"/>
      <c r="D283" s="10"/>
      <c r="E283" s="10"/>
      <c r="F283" s="10"/>
      <c r="G283" s="10"/>
      <c r="H283" s="10"/>
      <c r="I283" s="10"/>
      <c r="J283" s="10"/>
      <c r="K283" s="10"/>
      <c r="L283" s="10"/>
    </row>
    <row r="284" spans="3:12" x14ac:dyDescent="0.2">
      <c r="C284" s="10"/>
      <c r="D284" s="10"/>
      <c r="E284" s="10"/>
      <c r="F284" s="10"/>
      <c r="G284" s="10"/>
      <c r="H284" s="10"/>
      <c r="I284" s="10"/>
      <c r="J284" s="10"/>
      <c r="K284" s="10"/>
      <c r="L284" s="10"/>
    </row>
    <row r="285" spans="3:12" x14ac:dyDescent="0.2">
      <c r="C285" s="10"/>
      <c r="D285" s="10"/>
      <c r="E285" s="10"/>
      <c r="F285" s="10"/>
      <c r="G285" s="10"/>
      <c r="H285" s="10"/>
      <c r="I285" s="10"/>
      <c r="J285" s="10"/>
      <c r="K285" s="10"/>
      <c r="L285" s="10"/>
    </row>
    <row r="286" spans="3:12" x14ac:dyDescent="0.2">
      <c r="C286" s="10"/>
      <c r="D286" s="10"/>
      <c r="E286" s="10"/>
      <c r="F286" s="10"/>
      <c r="G286" s="10"/>
      <c r="H286" s="10"/>
      <c r="I286" s="10"/>
      <c r="J286" s="10"/>
      <c r="K286" s="10"/>
      <c r="L286" s="10"/>
    </row>
    <row r="287" spans="3:12" x14ac:dyDescent="0.2">
      <c r="C287" s="10"/>
      <c r="D287" s="10"/>
      <c r="E287" s="10"/>
      <c r="F287" s="10"/>
      <c r="G287" s="10"/>
      <c r="H287" s="10"/>
      <c r="I287" s="10"/>
      <c r="J287" s="10"/>
      <c r="K287" s="10"/>
      <c r="L287" s="10"/>
    </row>
    <row r="288" spans="3:12" x14ac:dyDescent="0.2">
      <c r="C288" s="10"/>
      <c r="D288" s="10"/>
      <c r="E288" s="10"/>
      <c r="F288" s="10"/>
      <c r="G288" s="10"/>
      <c r="H288" s="10"/>
      <c r="I288" s="10"/>
      <c r="J288" s="10"/>
      <c r="K288" s="10"/>
      <c r="L288" s="10"/>
    </row>
    <row r="289" spans="3:12" x14ac:dyDescent="0.2">
      <c r="C289" s="10"/>
      <c r="D289" s="10"/>
      <c r="E289" s="10"/>
      <c r="F289" s="10"/>
      <c r="G289" s="10"/>
      <c r="H289" s="10"/>
      <c r="I289" s="10"/>
      <c r="J289" s="10"/>
      <c r="K289" s="10"/>
      <c r="L289" s="10"/>
    </row>
    <row r="290" spans="3:12" x14ac:dyDescent="0.2">
      <c r="C290" s="10"/>
      <c r="D290" s="10"/>
      <c r="E290" s="10"/>
      <c r="F290" s="10"/>
      <c r="G290" s="10"/>
      <c r="H290" s="10"/>
      <c r="I290" s="10"/>
      <c r="J290" s="10"/>
      <c r="K290" s="10"/>
      <c r="L290" s="10"/>
    </row>
    <row r="291" spans="3:12" x14ac:dyDescent="0.2">
      <c r="C291" s="10"/>
      <c r="D291" s="10"/>
      <c r="E291" s="10"/>
      <c r="F291" s="10"/>
      <c r="G291" s="10"/>
      <c r="H291" s="10"/>
      <c r="I291" s="10"/>
      <c r="J291" s="10"/>
      <c r="K291" s="10"/>
      <c r="L291" s="10"/>
    </row>
    <row r="292" spans="3:12" x14ac:dyDescent="0.2">
      <c r="C292" s="10"/>
      <c r="D292" s="10"/>
      <c r="E292" s="10"/>
      <c r="F292" s="10"/>
      <c r="G292" s="10"/>
      <c r="H292" s="10"/>
      <c r="I292" s="10"/>
      <c r="J292" s="10"/>
      <c r="K292" s="10"/>
      <c r="L292" s="10"/>
    </row>
    <row r="293" spans="3:12" x14ac:dyDescent="0.2">
      <c r="C293" s="10"/>
      <c r="D293" s="10"/>
      <c r="E293" s="10"/>
      <c r="F293" s="10"/>
      <c r="G293" s="10"/>
      <c r="H293" s="10"/>
      <c r="I293" s="10"/>
      <c r="J293" s="10"/>
      <c r="K293" s="10"/>
      <c r="L293" s="10"/>
    </row>
    <row r="294" spans="3:12" x14ac:dyDescent="0.2">
      <c r="C294" s="10"/>
      <c r="D294" s="10"/>
      <c r="E294" s="10"/>
      <c r="F294" s="10"/>
      <c r="G294" s="10"/>
      <c r="H294" s="10"/>
      <c r="I294" s="10"/>
      <c r="J294" s="10"/>
      <c r="K294" s="10"/>
      <c r="L294" s="10"/>
    </row>
    <row r="295" spans="3:12" x14ac:dyDescent="0.2">
      <c r="C295" s="10"/>
      <c r="D295" s="10"/>
      <c r="E295" s="10"/>
      <c r="F295" s="10"/>
      <c r="G295" s="10"/>
      <c r="H295" s="10"/>
      <c r="I295" s="10"/>
      <c r="J295" s="10"/>
      <c r="K295" s="10"/>
      <c r="L295" s="10"/>
    </row>
    <row r="296" spans="3:12" x14ac:dyDescent="0.2">
      <c r="C296" s="10"/>
      <c r="D296" s="10"/>
      <c r="E296" s="10"/>
      <c r="F296" s="10"/>
      <c r="G296" s="10"/>
      <c r="H296" s="10"/>
      <c r="I296" s="10"/>
      <c r="J296" s="10"/>
      <c r="K296" s="10"/>
      <c r="L296" s="10"/>
    </row>
    <row r="297" spans="3:12" x14ac:dyDescent="0.2">
      <c r="C297" s="10"/>
      <c r="D297" s="10"/>
      <c r="E297" s="10"/>
      <c r="F297" s="10"/>
      <c r="G297" s="10"/>
      <c r="H297" s="10"/>
      <c r="I297" s="10"/>
      <c r="J297" s="10"/>
      <c r="K297" s="10"/>
      <c r="L297" s="10"/>
    </row>
    <row r="298" spans="3:12" x14ac:dyDescent="0.2">
      <c r="C298" s="10"/>
      <c r="D298" s="10"/>
      <c r="E298" s="10"/>
      <c r="F298" s="10"/>
      <c r="G298" s="10"/>
      <c r="H298" s="10"/>
      <c r="I298" s="10"/>
      <c r="J298" s="10"/>
      <c r="K298" s="10"/>
      <c r="L298" s="10"/>
    </row>
    <row r="299" spans="3:12" x14ac:dyDescent="0.2">
      <c r="C299" s="10"/>
      <c r="D299" s="10"/>
      <c r="E299" s="10"/>
      <c r="F299" s="10"/>
      <c r="G299" s="10"/>
      <c r="H299" s="10"/>
      <c r="I299" s="10"/>
      <c r="J299" s="10"/>
      <c r="K299" s="10"/>
      <c r="L299" s="10"/>
    </row>
    <row r="300" spans="3:12" x14ac:dyDescent="0.2">
      <c r="C300" s="10"/>
      <c r="D300" s="10"/>
      <c r="E300" s="10"/>
      <c r="F300" s="10"/>
      <c r="G300" s="10"/>
      <c r="H300" s="10"/>
      <c r="I300" s="10"/>
      <c r="J300" s="10"/>
      <c r="K300" s="10"/>
      <c r="L300" s="10"/>
    </row>
    <row r="301" spans="3:12" x14ac:dyDescent="0.2">
      <c r="C301" s="10"/>
      <c r="D301" s="10"/>
      <c r="E301" s="10"/>
      <c r="F301" s="10"/>
      <c r="G301" s="10"/>
      <c r="H301" s="10"/>
      <c r="I301" s="10"/>
      <c r="J301" s="10"/>
      <c r="K301" s="10"/>
      <c r="L301" s="10"/>
    </row>
    <row r="302" spans="3:12" x14ac:dyDescent="0.2">
      <c r="C302" s="10"/>
      <c r="D302" s="10"/>
      <c r="E302" s="10"/>
      <c r="F302" s="10"/>
      <c r="G302" s="10"/>
      <c r="H302" s="10"/>
      <c r="I302" s="10"/>
      <c r="J302" s="10"/>
      <c r="K302" s="10"/>
      <c r="L302" s="10"/>
    </row>
    <row r="303" spans="3:12" x14ac:dyDescent="0.2">
      <c r="C303" s="10"/>
      <c r="D303" s="10"/>
      <c r="E303" s="10"/>
      <c r="F303" s="10"/>
      <c r="G303" s="10"/>
      <c r="H303" s="10"/>
      <c r="I303" s="10"/>
      <c r="J303" s="10"/>
      <c r="K303" s="10"/>
      <c r="L303" s="10"/>
    </row>
    <row r="304" spans="3:12" x14ac:dyDescent="0.2">
      <c r="C304" s="10"/>
      <c r="D304" s="10"/>
      <c r="E304" s="10"/>
      <c r="F304" s="10"/>
      <c r="G304" s="10"/>
      <c r="H304" s="10"/>
      <c r="I304" s="10"/>
      <c r="J304" s="10"/>
      <c r="K304" s="10"/>
      <c r="L304" s="10"/>
    </row>
    <row r="305" spans="3:12" x14ac:dyDescent="0.2">
      <c r="C305" s="10"/>
      <c r="D305" s="10"/>
      <c r="E305" s="10"/>
      <c r="F305" s="10"/>
      <c r="G305" s="10"/>
      <c r="H305" s="10"/>
      <c r="I305" s="10"/>
      <c r="J305" s="10"/>
      <c r="K305" s="10"/>
      <c r="L305" s="10"/>
    </row>
    <row r="306" spans="3:12" x14ac:dyDescent="0.2">
      <c r="C306" s="10"/>
      <c r="D306" s="10"/>
      <c r="E306" s="10"/>
      <c r="F306" s="10"/>
      <c r="G306" s="10"/>
      <c r="H306" s="10"/>
      <c r="I306" s="10"/>
      <c r="J306" s="10"/>
      <c r="K306" s="10"/>
      <c r="L306" s="10"/>
    </row>
    <row r="307" spans="3:12" x14ac:dyDescent="0.2">
      <c r="C307" s="10"/>
      <c r="D307" s="10"/>
      <c r="E307" s="10"/>
      <c r="F307" s="10"/>
      <c r="G307" s="10"/>
      <c r="H307" s="10"/>
      <c r="I307" s="10"/>
      <c r="J307" s="10"/>
      <c r="K307" s="10"/>
      <c r="L307" s="10"/>
    </row>
    <row r="308" spans="3:12" x14ac:dyDescent="0.2">
      <c r="C308" s="10"/>
      <c r="D308" s="10"/>
      <c r="E308" s="10"/>
      <c r="F308" s="10"/>
      <c r="G308" s="10"/>
      <c r="H308" s="10"/>
      <c r="I308" s="10"/>
      <c r="J308" s="10"/>
      <c r="K308" s="10"/>
      <c r="L308" s="10"/>
    </row>
    <row r="309" spans="3:12" x14ac:dyDescent="0.2">
      <c r="C309" s="10"/>
      <c r="D309" s="10"/>
      <c r="E309" s="10"/>
      <c r="F309" s="10"/>
      <c r="G309" s="10"/>
      <c r="H309" s="10"/>
      <c r="I309" s="10"/>
      <c r="J309" s="10"/>
      <c r="K309" s="10"/>
      <c r="L309" s="10"/>
    </row>
    <row r="310" spans="3:12" x14ac:dyDescent="0.2">
      <c r="C310" s="10"/>
      <c r="D310" s="10"/>
      <c r="E310" s="10"/>
      <c r="F310" s="10"/>
      <c r="G310" s="10"/>
      <c r="H310" s="10"/>
      <c r="I310" s="10"/>
      <c r="J310" s="10"/>
      <c r="K310" s="10"/>
      <c r="L310" s="10"/>
    </row>
    <row r="311" spans="3:12" x14ac:dyDescent="0.2">
      <c r="C311" s="10"/>
      <c r="D311" s="10"/>
      <c r="E311" s="10"/>
      <c r="F311" s="10"/>
      <c r="G311" s="10"/>
      <c r="H311" s="10"/>
      <c r="I311" s="10"/>
      <c r="J311" s="10"/>
      <c r="K311" s="10"/>
      <c r="L311" s="10"/>
    </row>
    <row r="312" spans="3:12" x14ac:dyDescent="0.2">
      <c r="C312" s="10"/>
      <c r="D312" s="10"/>
      <c r="E312" s="10"/>
      <c r="F312" s="10"/>
      <c r="G312" s="10"/>
      <c r="H312" s="10"/>
      <c r="I312" s="10"/>
      <c r="J312" s="10"/>
      <c r="K312" s="10"/>
      <c r="L312" s="10"/>
    </row>
    <row r="313" spans="3:12" x14ac:dyDescent="0.2">
      <c r="C313" s="10"/>
      <c r="D313" s="10"/>
      <c r="E313" s="10"/>
      <c r="F313" s="10"/>
      <c r="G313" s="10"/>
      <c r="H313" s="10"/>
      <c r="I313" s="10"/>
      <c r="J313" s="10"/>
      <c r="K313" s="10"/>
      <c r="L313" s="10"/>
    </row>
    <row r="314" spans="3:12" x14ac:dyDescent="0.2">
      <c r="C314" s="10"/>
      <c r="D314" s="10"/>
      <c r="E314" s="10"/>
      <c r="F314" s="10"/>
      <c r="G314" s="10"/>
      <c r="H314" s="10"/>
      <c r="I314" s="10"/>
      <c r="J314" s="10"/>
      <c r="K314" s="10"/>
      <c r="L314" s="10"/>
    </row>
    <row r="315" spans="3:12" x14ac:dyDescent="0.2">
      <c r="C315" s="10"/>
      <c r="D315" s="10"/>
      <c r="E315" s="10"/>
      <c r="F315" s="10"/>
      <c r="G315" s="10"/>
      <c r="H315" s="10"/>
      <c r="I315" s="10"/>
      <c r="J315" s="10"/>
      <c r="K315" s="10"/>
      <c r="L315" s="10"/>
    </row>
    <row r="316" spans="3:12" x14ac:dyDescent="0.2">
      <c r="C316" s="10"/>
      <c r="D316" s="10"/>
      <c r="E316" s="10"/>
      <c r="F316" s="10"/>
      <c r="G316" s="10"/>
      <c r="H316" s="10"/>
      <c r="I316" s="10"/>
      <c r="J316" s="10"/>
      <c r="K316" s="10"/>
      <c r="L316" s="10"/>
    </row>
    <row r="317" spans="3:12" x14ac:dyDescent="0.2">
      <c r="C317" s="10"/>
      <c r="D317" s="10"/>
      <c r="E317" s="10"/>
      <c r="F317" s="10"/>
      <c r="G317" s="10"/>
      <c r="H317" s="10"/>
      <c r="I317" s="10"/>
      <c r="J317" s="10"/>
      <c r="K317" s="10"/>
      <c r="L317" s="10"/>
    </row>
    <row r="318" spans="3:12" x14ac:dyDescent="0.2">
      <c r="C318" s="10"/>
      <c r="D318" s="10"/>
      <c r="E318" s="10"/>
      <c r="F318" s="10"/>
      <c r="G318" s="10"/>
      <c r="H318" s="10"/>
      <c r="I318" s="10"/>
      <c r="J318" s="10"/>
      <c r="K318" s="10"/>
      <c r="L318" s="10"/>
    </row>
    <row r="319" spans="3:12" x14ac:dyDescent="0.2">
      <c r="C319" s="10"/>
      <c r="D319" s="10"/>
      <c r="E319" s="10"/>
      <c r="F319" s="10"/>
      <c r="G319" s="10"/>
      <c r="H319" s="10"/>
      <c r="I319" s="10"/>
      <c r="J319" s="10"/>
      <c r="K319" s="10"/>
      <c r="L319" s="10"/>
    </row>
    <row r="320" spans="3:12" x14ac:dyDescent="0.2">
      <c r="C320" s="10"/>
      <c r="D320" s="10"/>
      <c r="E320" s="10"/>
      <c r="F320" s="10"/>
      <c r="G320" s="10"/>
      <c r="H320" s="10"/>
      <c r="I320" s="10"/>
      <c r="J320" s="10"/>
      <c r="K320" s="10"/>
      <c r="L320" s="10"/>
    </row>
    <row r="321" spans="3:12" x14ac:dyDescent="0.2">
      <c r="C321" s="10"/>
      <c r="D321" s="10"/>
      <c r="E321" s="10"/>
      <c r="F321" s="10"/>
      <c r="G321" s="10"/>
      <c r="H321" s="10"/>
      <c r="I321" s="10"/>
      <c r="J321" s="10"/>
      <c r="K321" s="10"/>
      <c r="L321" s="10"/>
    </row>
    <row r="322" spans="3:12" x14ac:dyDescent="0.2">
      <c r="C322" s="10"/>
      <c r="D322" s="10"/>
      <c r="E322" s="10"/>
      <c r="F322" s="10"/>
      <c r="G322" s="10"/>
      <c r="H322" s="10"/>
      <c r="I322" s="10"/>
      <c r="J322" s="10"/>
      <c r="K322" s="10"/>
      <c r="L322" s="10"/>
    </row>
    <row r="323" spans="3:12" x14ac:dyDescent="0.2">
      <c r="C323" s="10"/>
      <c r="D323" s="10"/>
      <c r="E323" s="10"/>
      <c r="F323" s="10"/>
      <c r="G323" s="10"/>
      <c r="H323" s="10"/>
      <c r="I323" s="10"/>
      <c r="J323" s="10"/>
      <c r="K323" s="10"/>
      <c r="L323" s="10"/>
    </row>
    <row r="324" spans="3:12" x14ac:dyDescent="0.2">
      <c r="C324" s="10"/>
      <c r="D324" s="10"/>
      <c r="E324" s="10"/>
      <c r="F324" s="10"/>
      <c r="G324" s="10"/>
      <c r="H324" s="10"/>
      <c r="I324" s="10"/>
      <c r="J324" s="10"/>
      <c r="K324" s="10"/>
      <c r="L324" s="10"/>
    </row>
    <row r="325" spans="3:12" x14ac:dyDescent="0.2">
      <c r="C325" s="10"/>
      <c r="D325" s="10"/>
      <c r="E325" s="10"/>
      <c r="F325" s="10"/>
      <c r="G325" s="10"/>
      <c r="H325" s="10"/>
      <c r="I325" s="10"/>
      <c r="J325" s="10"/>
      <c r="K325" s="10"/>
      <c r="L325" s="10"/>
    </row>
    <row r="326" spans="3:12" x14ac:dyDescent="0.2">
      <c r="C326" s="10"/>
      <c r="D326" s="10"/>
      <c r="E326" s="10"/>
      <c r="F326" s="10"/>
      <c r="G326" s="10"/>
      <c r="H326" s="10"/>
      <c r="I326" s="10"/>
      <c r="J326" s="10"/>
      <c r="K326" s="10"/>
      <c r="L326" s="10"/>
    </row>
    <row r="327" spans="3:12" x14ac:dyDescent="0.2">
      <c r="C327" s="10"/>
      <c r="D327" s="10"/>
      <c r="E327" s="10"/>
      <c r="F327" s="10"/>
      <c r="G327" s="10"/>
      <c r="H327" s="10"/>
      <c r="I327" s="10"/>
      <c r="J327" s="10"/>
      <c r="K327" s="10"/>
      <c r="L327" s="10"/>
    </row>
    <row r="328" spans="3:12" x14ac:dyDescent="0.2">
      <c r="C328" s="10"/>
      <c r="D328" s="10"/>
      <c r="E328" s="10"/>
      <c r="F328" s="10"/>
      <c r="G328" s="10"/>
      <c r="H328" s="10"/>
      <c r="I328" s="10"/>
      <c r="J328" s="10"/>
      <c r="K328" s="10"/>
      <c r="L328" s="10"/>
    </row>
    <row r="329" spans="3:12" x14ac:dyDescent="0.2">
      <c r="C329" s="10"/>
      <c r="D329" s="10"/>
      <c r="E329" s="10"/>
      <c r="F329" s="10"/>
      <c r="G329" s="10"/>
      <c r="H329" s="10"/>
      <c r="I329" s="10"/>
      <c r="J329" s="10"/>
      <c r="K329" s="10"/>
      <c r="L329" s="10"/>
    </row>
    <row r="330" spans="3:12" x14ac:dyDescent="0.2">
      <c r="C330" s="10"/>
      <c r="D330" s="10"/>
      <c r="E330" s="10"/>
      <c r="F330" s="10"/>
      <c r="G330" s="10"/>
      <c r="H330" s="10"/>
      <c r="I330" s="10"/>
      <c r="J330" s="10"/>
      <c r="K330" s="10"/>
      <c r="L330" s="10"/>
    </row>
    <row r="331" spans="3:12" x14ac:dyDescent="0.2">
      <c r="C331" s="10"/>
      <c r="D331" s="10"/>
      <c r="E331" s="10"/>
      <c r="F331" s="10"/>
      <c r="G331" s="10"/>
      <c r="H331" s="10"/>
      <c r="I331" s="10"/>
      <c r="J331" s="10"/>
      <c r="K331" s="10"/>
      <c r="L331" s="10"/>
    </row>
    <row r="332" spans="3:12" x14ac:dyDescent="0.2">
      <c r="C332" s="10"/>
      <c r="D332" s="10"/>
      <c r="E332" s="10"/>
      <c r="F332" s="10"/>
      <c r="G332" s="10"/>
      <c r="H332" s="10"/>
      <c r="I332" s="10"/>
      <c r="J332" s="10"/>
      <c r="K332" s="10"/>
      <c r="L332" s="10"/>
    </row>
    <row r="333" spans="3:12" x14ac:dyDescent="0.2">
      <c r="C333" s="10"/>
      <c r="D333" s="10"/>
      <c r="E333" s="10"/>
      <c r="F333" s="10"/>
      <c r="G333" s="10"/>
      <c r="H333" s="10"/>
      <c r="I333" s="10"/>
      <c r="J333" s="10"/>
      <c r="K333" s="10"/>
      <c r="L333" s="10"/>
    </row>
    <row r="334" spans="3:12" x14ac:dyDescent="0.2">
      <c r="C334" s="10"/>
      <c r="D334" s="10"/>
      <c r="E334" s="10"/>
      <c r="F334" s="10"/>
      <c r="G334" s="10"/>
      <c r="H334" s="10"/>
      <c r="I334" s="10"/>
      <c r="J334" s="10"/>
      <c r="K334" s="10"/>
      <c r="L334" s="10"/>
    </row>
    <row r="335" spans="3:12" x14ac:dyDescent="0.2">
      <c r="C335" s="10"/>
      <c r="D335" s="10"/>
      <c r="E335" s="10"/>
      <c r="F335" s="10"/>
      <c r="G335" s="10"/>
      <c r="H335" s="10"/>
      <c r="I335" s="10"/>
      <c r="J335" s="10"/>
      <c r="K335" s="10"/>
      <c r="L335" s="10"/>
    </row>
    <row r="336" spans="3:12" x14ac:dyDescent="0.2">
      <c r="C336" s="10"/>
      <c r="D336" s="10"/>
      <c r="E336" s="10"/>
      <c r="F336" s="10"/>
      <c r="G336" s="10"/>
      <c r="H336" s="10"/>
      <c r="I336" s="10"/>
      <c r="J336" s="10"/>
      <c r="K336" s="10"/>
      <c r="L336" s="10"/>
    </row>
    <row r="337" spans="3:12" x14ac:dyDescent="0.2">
      <c r="C337" s="10"/>
      <c r="D337" s="10"/>
      <c r="E337" s="10"/>
      <c r="F337" s="10"/>
      <c r="G337" s="10"/>
      <c r="H337" s="10"/>
      <c r="I337" s="10"/>
      <c r="J337" s="10"/>
      <c r="K337" s="10"/>
      <c r="L337" s="10"/>
    </row>
    <row r="338" spans="3:12" x14ac:dyDescent="0.2">
      <c r="C338" s="10"/>
      <c r="D338" s="10"/>
      <c r="E338" s="10"/>
      <c r="F338" s="10"/>
      <c r="G338" s="10"/>
      <c r="H338" s="10"/>
      <c r="I338" s="10"/>
      <c r="J338" s="10"/>
      <c r="K338" s="10"/>
      <c r="L338" s="10"/>
    </row>
    <row r="339" spans="3:12" x14ac:dyDescent="0.2">
      <c r="C339" s="10"/>
      <c r="D339" s="10"/>
      <c r="E339" s="10"/>
      <c r="F339" s="10"/>
      <c r="G339" s="10"/>
      <c r="H339" s="10"/>
      <c r="I339" s="10"/>
      <c r="J339" s="10"/>
      <c r="K339" s="10"/>
      <c r="L339" s="10"/>
    </row>
    <row r="340" spans="3:12" x14ac:dyDescent="0.2">
      <c r="C340" s="10"/>
      <c r="D340" s="10"/>
      <c r="E340" s="10"/>
      <c r="F340" s="10"/>
      <c r="G340" s="10"/>
      <c r="H340" s="10"/>
      <c r="I340" s="10"/>
      <c r="J340" s="10"/>
      <c r="K340" s="10"/>
      <c r="L340" s="10"/>
    </row>
    <row r="341" spans="3:12" x14ac:dyDescent="0.2">
      <c r="C341" s="10"/>
      <c r="D341" s="10"/>
      <c r="E341" s="10"/>
      <c r="F341" s="10"/>
      <c r="G341" s="10"/>
      <c r="H341" s="10"/>
      <c r="I341" s="10"/>
      <c r="J341" s="10"/>
      <c r="K341" s="10"/>
      <c r="L341" s="10"/>
    </row>
    <row r="342" spans="3:12" x14ac:dyDescent="0.2">
      <c r="C342" s="10"/>
      <c r="D342" s="10"/>
      <c r="E342" s="10"/>
      <c r="F342" s="10"/>
      <c r="G342" s="10"/>
      <c r="H342" s="10"/>
      <c r="I342" s="10"/>
      <c r="J342" s="10"/>
      <c r="K342" s="10"/>
      <c r="L342" s="10"/>
    </row>
    <row r="343" spans="3:12" x14ac:dyDescent="0.2">
      <c r="C343" s="10"/>
      <c r="D343" s="10"/>
      <c r="E343" s="10"/>
      <c r="F343" s="10"/>
      <c r="G343" s="10"/>
      <c r="H343" s="10"/>
      <c r="I343" s="10"/>
      <c r="J343" s="10"/>
      <c r="K343" s="10"/>
      <c r="L343" s="10"/>
    </row>
    <row r="344" spans="3:12" x14ac:dyDescent="0.2">
      <c r="C344" s="10"/>
      <c r="D344" s="10"/>
      <c r="E344" s="10"/>
      <c r="F344" s="10"/>
      <c r="G344" s="10"/>
      <c r="H344" s="10"/>
      <c r="I344" s="10"/>
      <c r="J344" s="10"/>
      <c r="K344" s="10"/>
      <c r="L344" s="10"/>
    </row>
    <row r="345" spans="3:12" x14ac:dyDescent="0.2">
      <c r="C345" s="10"/>
      <c r="D345" s="10"/>
      <c r="E345" s="10"/>
      <c r="F345" s="10"/>
      <c r="G345" s="10"/>
      <c r="H345" s="10"/>
      <c r="I345" s="10"/>
      <c r="J345" s="10"/>
      <c r="K345" s="10"/>
      <c r="L345" s="10"/>
    </row>
    <row r="346" spans="3:12" x14ac:dyDescent="0.2">
      <c r="C346" s="10"/>
      <c r="D346" s="10"/>
      <c r="E346" s="10"/>
      <c r="F346" s="10"/>
      <c r="G346" s="10"/>
      <c r="H346" s="10"/>
      <c r="I346" s="10"/>
      <c r="J346" s="10"/>
      <c r="K346" s="10"/>
      <c r="L346" s="10"/>
    </row>
    <row r="347" spans="3:12" x14ac:dyDescent="0.2">
      <c r="C347" s="10"/>
      <c r="D347" s="10"/>
      <c r="E347" s="10"/>
      <c r="F347" s="10"/>
      <c r="G347" s="10"/>
      <c r="H347" s="10"/>
      <c r="I347" s="10"/>
      <c r="J347" s="10"/>
      <c r="K347" s="10"/>
      <c r="L347" s="10"/>
    </row>
    <row r="348" spans="3:12" x14ac:dyDescent="0.2">
      <c r="C348" s="10"/>
      <c r="D348" s="10"/>
      <c r="E348" s="10"/>
      <c r="F348" s="10"/>
      <c r="G348" s="10"/>
      <c r="H348" s="10"/>
      <c r="I348" s="10"/>
      <c r="J348" s="10"/>
      <c r="K348" s="10"/>
      <c r="L348" s="10"/>
    </row>
    <row r="349" spans="3:12" x14ac:dyDescent="0.2">
      <c r="C349" s="10"/>
      <c r="D349" s="10"/>
      <c r="E349" s="10"/>
      <c r="F349" s="10"/>
      <c r="G349" s="10"/>
      <c r="H349" s="10"/>
      <c r="I349" s="10"/>
      <c r="J349" s="10"/>
      <c r="K349" s="10"/>
      <c r="L349" s="10"/>
    </row>
    <row r="350" spans="3:12" x14ac:dyDescent="0.2">
      <c r="C350" s="10"/>
      <c r="D350" s="10"/>
      <c r="E350" s="10"/>
      <c r="F350" s="10"/>
      <c r="G350" s="10"/>
      <c r="H350" s="10"/>
      <c r="I350" s="10"/>
      <c r="J350" s="10"/>
      <c r="K350" s="10"/>
      <c r="L350" s="10"/>
    </row>
    <row r="351" spans="3:12" x14ac:dyDescent="0.2">
      <c r="C351" s="10"/>
      <c r="D351" s="10"/>
      <c r="E351" s="10"/>
      <c r="F351" s="10"/>
      <c r="G351" s="10"/>
      <c r="H351" s="10"/>
      <c r="I351" s="10"/>
      <c r="J351" s="10"/>
      <c r="K351" s="10"/>
      <c r="L351" s="10"/>
    </row>
    <row r="352" spans="3:12" x14ac:dyDescent="0.2">
      <c r="C352" s="10"/>
      <c r="D352" s="10"/>
      <c r="E352" s="10"/>
      <c r="F352" s="10"/>
      <c r="G352" s="10"/>
      <c r="H352" s="10"/>
      <c r="I352" s="10"/>
      <c r="J352" s="10"/>
      <c r="K352" s="10"/>
      <c r="L352" s="10"/>
    </row>
    <row r="353" spans="3:12" x14ac:dyDescent="0.2">
      <c r="C353" s="10"/>
      <c r="D353" s="10"/>
      <c r="E353" s="10"/>
      <c r="F353" s="10"/>
      <c r="G353" s="10"/>
      <c r="H353" s="10"/>
      <c r="I353" s="10"/>
      <c r="J353" s="10"/>
      <c r="K353" s="10"/>
      <c r="L353" s="10"/>
    </row>
    <row r="354" spans="3:12" x14ac:dyDescent="0.2">
      <c r="C354" s="10"/>
      <c r="D354" s="10"/>
      <c r="E354" s="10"/>
      <c r="F354" s="10"/>
      <c r="G354" s="10"/>
      <c r="H354" s="10"/>
      <c r="I354" s="10"/>
      <c r="J354" s="10"/>
      <c r="K354" s="10"/>
      <c r="L354" s="10"/>
    </row>
    <row r="355" spans="3:12" x14ac:dyDescent="0.2">
      <c r="C355" s="10"/>
      <c r="D355" s="10"/>
      <c r="E355" s="10"/>
      <c r="F355" s="10"/>
      <c r="G355" s="10"/>
      <c r="H355" s="10"/>
      <c r="I355" s="10"/>
      <c r="J355" s="10"/>
      <c r="K355" s="10"/>
      <c r="L355" s="10"/>
    </row>
    <row r="356" spans="3:12" x14ac:dyDescent="0.2">
      <c r="C356" s="10"/>
      <c r="D356" s="10"/>
      <c r="E356" s="10"/>
      <c r="F356" s="10"/>
      <c r="G356" s="10"/>
      <c r="H356" s="10"/>
      <c r="I356" s="10"/>
      <c r="J356" s="10"/>
      <c r="K356" s="10"/>
      <c r="L356" s="10"/>
    </row>
    <row r="357" spans="3:12" x14ac:dyDescent="0.2">
      <c r="C357" s="10"/>
      <c r="D357" s="10"/>
      <c r="E357" s="10"/>
      <c r="F357" s="10"/>
      <c r="G357" s="10"/>
      <c r="H357" s="10"/>
      <c r="I357" s="10"/>
      <c r="J357" s="10"/>
      <c r="K357" s="10"/>
      <c r="L357" s="10"/>
    </row>
    <row r="358" spans="3:12" x14ac:dyDescent="0.2">
      <c r="C358" s="10"/>
      <c r="D358" s="10"/>
      <c r="E358" s="10"/>
      <c r="F358" s="10"/>
      <c r="G358" s="10"/>
      <c r="H358" s="10"/>
      <c r="I358" s="10"/>
      <c r="J358" s="10"/>
      <c r="K358" s="10"/>
      <c r="L358" s="10"/>
    </row>
    <row r="359" spans="3:12" x14ac:dyDescent="0.2">
      <c r="C359" s="10"/>
      <c r="D359" s="10"/>
      <c r="E359" s="10"/>
      <c r="F359" s="10"/>
      <c r="G359" s="10"/>
      <c r="H359" s="10"/>
      <c r="I359" s="10"/>
      <c r="J359" s="10"/>
      <c r="K359" s="10"/>
      <c r="L359" s="10"/>
    </row>
    <row r="360" spans="3:12" x14ac:dyDescent="0.2">
      <c r="C360" s="10"/>
      <c r="D360" s="10"/>
      <c r="E360" s="10"/>
      <c r="F360" s="10"/>
      <c r="G360" s="10"/>
      <c r="H360" s="10"/>
      <c r="I360" s="10"/>
      <c r="J360" s="10"/>
      <c r="K360" s="10"/>
      <c r="L360" s="10"/>
    </row>
    <row r="361" spans="3:12" x14ac:dyDescent="0.2">
      <c r="C361" s="10"/>
      <c r="D361" s="10"/>
      <c r="E361" s="10"/>
      <c r="F361" s="10"/>
      <c r="G361" s="10"/>
      <c r="H361" s="10"/>
      <c r="I361" s="10"/>
      <c r="J361" s="10"/>
      <c r="K361" s="10"/>
      <c r="L361" s="10"/>
    </row>
    <row r="362" spans="3:12" x14ac:dyDescent="0.2">
      <c r="C362" s="10"/>
      <c r="D362" s="10"/>
      <c r="E362" s="10"/>
      <c r="F362" s="10"/>
      <c r="G362" s="10"/>
      <c r="H362" s="10"/>
      <c r="I362" s="10"/>
      <c r="J362" s="10"/>
      <c r="K362" s="10"/>
      <c r="L362" s="10"/>
    </row>
    <row r="363" spans="3:12" x14ac:dyDescent="0.2">
      <c r="C363" s="10"/>
      <c r="D363" s="10"/>
      <c r="E363" s="10"/>
      <c r="F363" s="10"/>
      <c r="G363" s="10"/>
      <c r="H363" s="10"/>
      <c r="I363" s="10"/>
      <c r="J363" s="10"/>
      <c r="K363" s="10"/>
      <c r="L363" s="10"/>
    </row>
    <row r="364" spans="3:12" x14ac:dyDescent="0.2">
      <c r="C364" s="10"/>
      <c r="D364" s="10"/>
      <c r="E364" s="10"/>
      <c r="F364" s="10"/>
      <c r="G364" s="10"/>
      <c r="H364" s="10"/>
      <c r="I364" s="10"/>
      <c r="J364" s="10"/>
      <c r="K364" s="10"/>
      <c r="L364" s="10"/>
    </row>
    <row r="365" spans="3:12" x14ac:dyDescent="0.2">
      <c r="C365" s="10"/>
      <c r="D365" s="10"/>
      <c r="E365" s="10"/>
      <c r="F365" s="10"/>
      <c r="G365" s="10"/>
      <c r="H365" s="10"/>
      <c r="I365" s="10"/>
      <c r="J365" s="10"/>
      <c r="K365" s="10"/>
      <c r="L365" s="10"/>
    </row>
    <row r="366" spans="3:12" x14ac:dyDescent="0.2">
      <c r="C366" s="10"/>
      <c r="D366" s="10"/>
      <c r="E366" s="10"/>
      <c r="F366" s="10"/>
      <c r="G366" s="10"/>
      <c r="H366" s="10"/>
      <c r="I366" s="10"/>
      <c r="J366" s="10"/>
      <c r="K366" s="10"/>
      <c r="L366" s="10"/>
    </row>
    <row r="367" spans="3:12" x14ac:dyDescent="0.2">
      <c r="C367" s="10"/>
      <c r="D367" s="10"/>
      <c r="E367" s="10"/>
      <c r="F367" s="10"/>
      <c r="G367" s="10"/>
      <c r="H367" s="10"/>
      <c r="I367" s="10"/>
      <c r="J367" s="10"/>
      <c r="K367" s="10"/>
      <c r="L367" s="10"/>
    </row>
    <row r="368" spans="3:12" x14ac:dyDescent="0.2">
      <c r="C368" s="10"/>
      <c r="D368" s="10"/>
      <c r="E368" s="10"/>
      <c r="F368" s="10"/>
      <c r="G368" s="10"/>
      <c r="H368" s="10"/>
      <c r="I368" s="10"/>
      <c r="J368" s="10"/>
      <c r="K368" s="10"/>
      <c r="L368" s="10"/>
    </row>
    <row r="369" spans="3:12" x14ac:dyDescent="0.2">
      <c r="C369" s="10"/>
      <c r="D369" s="10"/>
      <c r="E369" s="10"/>
      <c r="F369" s="10"/>
      <c r="G369" s="10"/>
      <c r="H369" s="10"/>
      <c r="I369" s="10"/>
      <c r="J369" s="10"/>
      <c r="K369" s="10"/>
      <c r="L369" s="10"/>
    </row>
    <row r="370" spans="3:12" x14ac:dyDescent="0.2">
      <c r="C370" s="10"/>
      <c r="D370" s="10"/>
      <c r="E370" s="10"/>
      <c r="F370" s="10"/>
      <c r="G370" s="10"/>
      <c r="H370" s="10"/>
      <c r="I370" s="10"/>
      <c r="J370" s="10"/>
      <c r="K370" s="10"/>
      <c r="L370" s="10"/>
    </row>
    <row r="371" spans="3:12" x14ac:dyDescent="0.2">
      <c r="C371" s="10"/>
      <c r="D371" s="10"/>
      <c r="E371" s="10"/>
      <c r="F371" s="10"/>
      <c r="G371" s="10"/>
      <c r="H371" s="10"/>
      <c r="I371" s="10"/>
      <c r="J371" s="10"/>
      <c r="K371" s="10"/>
      <c r="L371" s="10"/>
    </row>
    <row r="372" spans="3:12" x14ac:dyDescent="0.2">
      <c r="C372" s="10"/>
      <c r="D372" s="10"/>
      <c r="E372" s="10"/>
      <c r="F372" s="10"/>
      <c r="G372" s="10"/>
      <c r="H372" s="10"/>
      <c r="I372" s="10"/>
      <c r="J372" s="10"/>
      <c r="K372" s="10"/>
      <c r="L372" s="10"/>
    </row>
    <row r="373" spans="3:12" x14ac:dyDescent="0.2">
      <c r="C373" s="10"/>
      <c r="D373" s="10"/>
      <c r="E373" s="10"/>
      <c r="F373" s="10"/>
      <c r="G373" s="10"/>
      <c r="H373" s="10"/>
      <c r="I373" s="10"/>
      <c r="J373" s="10"/>
      <c r="K373" s="10"/>
      <c r="L373" s="10"/>
    </row>
    <row r="374" spans="3:12" x14ac:dyDescent="0.2">
      <c r="C374" s="10"/>
      <c r="D374" s="10"/>
      <c r="E374" s="10"/>
      <c r="F374" s="10"/>
      <c r="G374" s="10"/>
      <c r="H374" s="10"/>
      <c r="I374" s="10"/>
      <c r="J374" s="10"/>
      <c r="K374" s="10"/>
      <c r="L374" s="10"/>
    </row>
    <row r="375" spans="3:12" x14ac:dyDescent="0.2">
      <c r="C375" s="10"/>
      <c r="D375" s="10"/>
      <c r="E375" s="10"/>
      <c r="F375" s="10"/>
      <c r="G375" s="10"/>
      <c r="H375" s="10"/>
      <c r="I375" s="10"/>
      <c r="J375" s="10"/>
      <c r="K375" s="10"/>
      <c r="L375" s="10"/>
    </row>
    <row r="376" spans="3:12" x14ac:dyDescent="0.2">
      <c r="C376" s="10"/>
      <c r="D376" s="10"/>
      <c r="E376" s="10"/>
      <c r="F376" s="10"/>
      <c r="G376" s="10"/>
      <c r="H376" s="10"/>
      <c r="I376" s="10"/>
      <c r="J376" s="10"/>
      <c r="K376" s="10"/>
      <c r="L376" s="10"/>
    </row>
    <row r="377" spans="3:12" x14ac:dyDescent="0.2">
      <c r="C377" s="10"/>
      <c r="D377" s="10"/>
      <c r="E377" s="10"/>
      <c r="F377" s="10"/>
      <c r="G377" s="10"/>
      <c r="H377" s="10"/>
      <c r="I377" s="10"/>
      <c r="J377" s="10"/>
      <c r="K377" s="10"/>
      <c r="L377" s="10"/>
    </row>
    <row r="378" spans="3:12" x14ac:dyDescent="0.2">
      <c r="C378" s="10"/>
      <c r="D378" s="10"/>
      <c r="E378" s="10"/>
      <c r="F378" s="10"/>
      <c r="G378" s="10"/>
      <c r="H378" s="10"/>
      <c r="I378" s="10"/>
      <c r="J378" s="10"/>
      <c r="K378" s="10"/>
      <c r="L378" s="10"/>
    </row>
    <row r="379" spans="3:12" x14ac:dyDescent="0.2">
      <c r="C379" s="10"/>
      <c r="D379" s="10"/>
      <c r="E379" s="10"/>
      <c r="F379" s="10"/>
      <c r="G379" s="10"/>
      <c r="H379" s="10"/>
      <c r="I379" s="10"/>
      <c r="J379" s="10"/>
      <c r="K379" s="10"/>
      <c r="L379" s="10"/>
    </row>
    <row r="380" spans="3:12" x14ac:dyDescent="0.2">
      <c r="C380" s="10"/>
      <c r="D380" s="10"/>
      <c r="E380" s="10"/>
      <c r="F380" s="10"/>
      <c r="G380" s="10"/>
      <c r="H380" s="10"/>
      <c r="I380" s="10"/>
      <c r="J380" s="10"/>
      <c r="K380" s="10"/>
      <c r="L380" s="10"/>
    </row>
    <row r="381" spans="3:12" x14ac:dyDescent="0.2">
      <c r="C381" s="10"/>
      <c r="D381" s="10"/>
      <c r="E381" s="10"/>
      <c r="F381" s="10"/>
      <c r="G381" s="10"/>
      <c r="H381" s="10"/>
      <c r="I381" s="10"/>
      <c r="J381" s="10"/>
      <c r="K381" s="10"/>
      <c r="L381" s="10"/>
    </row>
    <row r="382" spans="3:12" x14ac:dyDescent="0.2">
      <c r="C382" s="10"/>
      <c r="D382" s="10"/>
      <c r="E382" s="10"/>
      <c r="F382" s="10"/>
      <c r="G382" s="10"/>
      <c r="H382" s="10"/>
      <c r="I382" s="10"/>
      <c r="J382" s="10"/>
      <c r="K382" s="10"/>
      <c r="L382" s="10"/>
    </row>
    <row r="383" spans="3:12" x14ac:dyDescent="0.2">
      <c r="C383" s="10"/>
      <c r="D383" s="10"/>
      <c r="E383" s="10"/>
      <c r="F383" s="10"/>
      <c r="G383" s="10"/>
      <c r="H383" s="10"/>
      <c r="I383" s="10"/>
      <c r="J383" s="10"/>
      <c r="K383" s="10"/>
      <c r="L383" s="10"/>
    </row>
    <row r="384" spans="3:12" x14ac:dyDescent="0.2">
      <c r="C384" s="10"/>
      <c r="D384" s="10"/>
      <c r="E384" s="10"/>
      <c r="F384" s="10"/>
      <c r="G384" s="10"/>
      <c r="H384" s="10"/>
      <c r="I384" s="10"/>
      <c r="J384" s="10"/>
      <c r="K384" s="10"/>
      <c r="L384" s="10"/>
    </row>
    <row r="385" spans="3:12" x14ac:dyDescent="0.2">
      <c r="C385" s="10"/>
      <c r="D385" s="10"/>
      <c r="E385" s="10"/>
      <c r="F385" s="10"/>
      <c r="G385" s="10"/>
      <c r="H385" s="10"/>
      <c r="I385" s="10"/>
      <c r="J385" s="10"/>
      <c r="K385" s="10"/>
      <c r="L385" s="10"/>
    </row>
    <row r="386" spans="3:12" x14ac:dyDescent="0.2">
      <c r="C386" s="10"/>
      <c r="D386" s="10"/>
      <c r="E386" s="10"/>
      <c r="F386" s="10"/>
      <c r="G386" s="10"/>
      <c r="H386" s="10"/>
      <c r="I386" s="10"/>
      <c r="J386" s="10"/>
      <c r="K386" s="10"/>
      <c r="L386" s="10"/>
    </row>
    <row r="387" spans="3:12" x14ac:dyDescent="0.2">
      <c r="C387" s="10"/>
      <c r="D387" s="10"/>
      <c r="E387" s="10"/>
      <c r="F387" s="10"/>
      <c r="G387" s="10"/>
      <c r="H387" s="10"/>
      <c r="I387" s="10"/>
      <c r="J387" s="10"/>
      <c r="K387" s="10"/>
      <c r="L387" s="10"/>
    </row>
    <row r="388" spans="3:12" x14ac:dyDescent="0.2">
      <c r="C388" s="10"/>
      <c r="D388" s="10"/>
      <c r="E388" s="10"/>
      <c r="F388" s="10"/>
      <c r="G388" s="10"/>
      <c r="H388" s="10"/>
      <c r="I388" s="10"/>
      <c r="J388" s="10"/>
      <c r="K388" s="10"/>
      <c r="L388" s="10"/>
    </row>
    <row r="389" spans="3:12" x14ac:dyDescent="0.2">
      <c r="C389" s="10"/>
      <c r="D389" s="10"/>
      <c r="E389" s="10"/>
      <c r="F389" s="10"/>
      <c r="G389" s="10"/>
      <c r="H389" s="10"/>
      <c r="I389" s="10"/>
      <c r="J389" s="10"/>
      <c r="K389" s="10"/>
      <c r="L389" s="10"/>
    </row>
    <row r="390" spans="3:12" x14ac:dyDescent="0.2">
      <c r="C390" s="10"/>
      <c r="D390" s="10"/>
      <c r="E390" s="10"/>
      <c r="F390" s="10"/>
      <c r="G390" s="10"/>
      <c r="H390" s="10"/>
      <c r="I390" s="10"/>
      <c r="J390" s="10"/>
      <c r="K390" s="10"/>
      <c r="L390" s="10"/>
    </row>
    <row r="391" spans="3:12" x14ac:dyDescent="0.2">
      <c r="C391" s="10"/>
      <c r="D391" s="10"/>
      <c r="E391" s="10"/>
      <c r="F391" s="10"/>
      <c r="G391" s="10"/>
      <c r="H391" s="10"/>
      <c r="I391" s="10"/>
      <c r="J391" s="10"/>
      <c r="K391" s="10"/>
      <c r="L391" s="10"/>
    </row>
    <row r="392" spans="3:12" x14ac:dyDescent="0.2">
      <c r="C392" s="10"/>
      <c r="D392" s="10"/>
      <c r="E392" s="10"/>
      <c r="F392" s="10"/>
      <c r="G392" s="10"/>
      <c r="H392" s="10"/>
      <c r="I392" s="10"/>
      <c r="J392" s="10"/>
      <c r="K392" s="10"/>
      <c r="L392" s="10"/>
    </row>
    <row r="393" spans="3:12" x14ac:dyDescent="0.2">
      <c r="C393" s="10"/>
      <c r="D393" s="10"/>
      <c r="E393" s="10"/>
      <c r="F393" s="10"/>
      <c r="G393" s="10"/>
      <c r="H393" s="10"/>
      <c r="I393" s="10"/>
      <c r="J393" s="10"/>
      <c r="K393" s="10"/>
      <c r="L393" s="10"/>
    </row>
    <row r="394" spans="3:12" x14ac:dyDescent="0.2">
      <c r="C394" s="10"/>
      <c r="D394" s="10"/>
      <c r="E394" s="10"/>
      <c r="F394" s="10"/>
      <c r="G394" s="10"/>
      <c r="H394" s="10"/>
      <c r="I394" s="10"/>
      <c r="J394" s="10"/>
      <c r="K394" s="10"/>
      <c r="L394" s="10"/>
    </row>
    <row r="395" spans="3:12" x14ac:dyDescent="0.2">
      <c r="C395" s="10"/>
      <c r="D395" s="10"/>
      <c r="E395" s="10"/>
      <c r="F395" s="10"/>
      <c r="G395" s="10"/>
      <c r="H395" s="10"/>
      <c r="I395" s="10"/>
      <c r="J395" s="10"/>
      <c r="K395" s="10"/>
      <c r="L395" s="10"/>
    </row>
    <row r="396" spans="3:12" x14ac:dyDescent="0.2">
      <c r="C396" s="10"/>
      <c r="D396" s="10"/>
      <c r="E396" s="10"/>
      <c r="F396" s="10"/>
      <c r="G396" s="10"/>
      <c r="H396" s="10"/>
      <c r="I396" s="10"/>
      <c r="J396" s="10"/>
      <c r="K396" s="10"/>
      <c r="L396" s="10"/>
    </row>
    <row r="397" spans="3:12" x14ac:dyDescent="0.2">
      <c r="C397" s="10"/>
      <c r="D397" s="10"/>
      <c r="E397" s="10"/>
      <c r="F397" s="10"/>
      <c r="G397" s="10"/>
      <c r="H397" s="10"/>
      <c r="I397" s="10"/>
      <c r="J397" s="10"/>
      <c r="K397" s="10"/>
      <c r="L397" s="10"/>
    </row>
    <row r="398" spans="3:12" x14ac:dyDescent="0.2">
      <c r="C398" s="10"/>
      <c r="D398" s="10"/>
      <c r="E398" s="10"/>
      <c r="F398" s="10"/>
      <c r="G398" s="10"/>
      <c r="H398" s="10"/>
      <c r="I398" s="10"/>
      <c r="J398" s="10"/>
      <c r="K398" s="10"/>
      <c r="L398" s="10"/>
    </row>
    <row r="399" spans="3:12" x14ac:dyDescent="0.2">
      <c r="C399" s="10"/>
      <c r="D399" s="10"/>
      <c r="E399" s="10"/>
      <c r="F399" s="10"/>
      <c r="G399" s="10"/>
      <c r="H399" s="10"/>
      <c r="I399" s="10"/>
      <c r="J399" s="10"/>
      <c r="K399" s="10"/>
      <c r="L399" s="10"/>
    </row>
    <row r="400" spans="3:12" x14ac:dyDescent="0.2">
      <c r="C400" s="10"/>
      <c r="D400" s="10"/>
      <c r="E400" s="10"/>
      <c r="F400" s="10"/>
      <c r="G400" s="10"/>
      <c r="H400" s="10"/>
      <c r="I400" s="10"/>
      <c r="J400" s="10"/>
      <c r="K400" s="10"/>
      <c r="L400" s="10"/>
    </row>
    <row r="401" spans="3:12" x14ac:dyDescent="0.2">
      <c r="C401" s="10"/>
      <c r="D401" s="10"/>
      <c r="E401" s="10"/>
      <c r="F401" s="10"/>
      <c r="G401" s="10"/>
      <c r="H401" s="10"/>
      <c r="I401" s="10"/>
      <c r="J401" s="10"/>
      <c r="K401" s="10"/>
      <c r="L401" s="10"/>
    </row>
    <row r="402" spans="3:12" x14ac:dyDescent="0.2">
      <c r="C402" s="10"/>
      <c r="D402" s="10"/>
      <c r="E402" s="10"/>
      <c r="F402" s="10"/>
      <c r="G402" s="10"/>
      <c r="H402" s="10"/>
      <c r="I402" s="10"/>
      <c r="J402" s="10"/>
      <c r="K402" s="10"/>
      <c r="L402" s="10"/>
    </row>
    <row r="403" spans="3:12" x14ac:dyDescent="0.2">
      <c r="C403" s="10"/>
      <c r="D403" s="10"/>
      <c r="E403" s="10"/>
      <c r="F403" s="10"/>
      <c r="G403" s="10"/>
      <c r="H403" s="10"/>
      <c r="I403" s="10"/>
      <c r="J403" s="10"/>
      <c r="K403" s="10"/>
      <c r="L403" s="10"/>
    </row>
    <row r="404" spans="3:12" x14ac:dyDescent="0.2">
      <c r="C404" s="10"/>
      <c r="D404" s="10"/>
      <c r="E404" s="10"/>
      <c r="F404" s="10"/>
      <c r="G404" s="10"/>
      <c r="H404" s="10"/>
      <c r="I404" s="10"/>
      <c r="J404" s="10"/>
      <c r="K404" s="10"/>
      <c r="L404" s="10"/>
    </row>
    <row r="405" spans="3:12" x14ac:dyDescent="0.2">
      <c r="C405" s="10"/>
      <c r="D405" s="10"/>
      <c r="E405" s="10"/>
      <c r="F405" s="10"/>
      <c r="G405" s="10"/>
      <c r="H405" s="10"/>
      <c r="I405" s="10"/>
      <c r="J405" s="10"/>
      <c r="K405" s="10"/>
      <c r="L405" s="10"/>
    </row>
    <row r="406" spans="3:12" x14ac:dyDescent="0.2">
      <c r="C406" s="10"/>
      <c r="D406" s="10"/>
      <c r="E406" s="10"/>
      <c r="F406" s="10"/>
      <c r="G406" s="10"/>
      <c r="H406" s="10"/>
      <c r="I406" s="10"/>
      <c r="J406" s="10"/>
      <c r="K406" s="10"/>
      <c r="L406" s="10"/>
    </row>
    <row r="407" spans="3:12" x14ac:dyDescent="0.2">
      <c r="C407" s="10"/>
      <c r="D407" s="10"/>
      <c r="E407" s="10"/>
      <c r="F407" s="10"/>
      <c r="G407" s="10"/>
      <c r="H407" s="10"/>
      <c r="I407" s="10"/>
      <c r="J407" s="10"/>
      <c r="K407" s="10"/>
      <c r="L407" s="10"/>
    </row>
    <row r="408" spans="3:12" x14ac:dyDescent="0.2">
      <c r="C408" s="10"/>
      <c r="D408" s="10"/>
      <c r="E408" s="10"/>
      <c r="F408" s="10"/>
      <c r="G408" s="10"/>
      <c r="H408" s="10"/>
      <c r="I408" s="10"/>
      <c r="J408" s="10"/>
      <c r="K408" s="10"/>
      <c r="L408" s="10"/>
    </row>
    <row r="409" spans="3:12" x14ac:dyDescent="0.2">
      <c r="C409" s="10"/>
      <c r="D409" s="10"/>
      <c r="E409" s="10"/>
      <c r="F409" s="10"/>
      <c r="G409" s="10"/>
      <c r="H409" s="10"/>
      <c r="I409" s="10"/>
      <c r="J409" s="10"/>
      <c r="K409" s="10"/>
      <c r="L409" s="10"/>
    </row>
    <row r="410" spans="3:12" x14ac:dyDescent="0.2">
      <c r="C410" s="10"/>
      <c r="D410" s="10"/>
      <c r="E410" s="10"/>
      <c r="F410" s="10"/>
      <c r="G410" s="10"/>
      <c r="H410" s="10"/>
      <c r="I410" s="10"/>
      <c r="J410" s="10"/>
      <c r="K410" s="10"/>
      <c r="L410" s="10"/>
    </row>
    <row r="411" spans="3:12" x14ac:dyDescent="0.2">
      <c r="C411" s="10"/>
      <c r="D411" s="10"/>
      <c r="E411" s="10"/>
      <c r="F411" s="10"/>
      <c r="G411" s="10"/>
      <c r="H411" s="10"/>
      <c r="I411" s="10"/>
      <c r="J411" s="10"/>
      <c r="K411" s="10"/>
      <c r="L411" s="10"/>
    </row>
    <row r="412" spans="3:12" x14ac:dyDescent="0.2">
      <c r="C412" s="10"/>
      <c r="D412" s="10"/>
      <c r="E412" s="10"/>
      <c r="F412" s="10"/>
      <c r="G412" s="10"/>
      <c r="H412" s="10"/>
      <c r="I412" s="10"/>
      <c r="J412" s="10"/>
      <c r="K412" s="10"/>
      <c r="L412" s="10"/>
    </row>
    <row r="413" spans="3:12" x14ac:dyDescent="0.2">
      <c r="C413" s="10"/>
      <c r="D413" s="10"/>
      <c r="E413" s="10"/>
      <c r="F413" s="10"/>
      <c r="G413" s="10"/>
      <c r="H413" s="10"/>
      <c r="I413" s="10"/>
      <c r="J413" s="10"/>
      <c r="K413" s="10"/>
      <c r="L413" s="10"/>
    </row>
    <row r="414" spans="3:12" x14ac:dyDescent="0.2">
      <c r="C414" s="10"/>
      <c r="D414" s="10"/>
      <c r="E414" s="10"/>
      <c r="F414" s="10"/>
      <c r="G414" s="10"/>
      <c r="H414" s="10"/>
      <c r="I414" s="10"/>
      <c r="J414" s="10"/>
      <c r="K414" s="10"/>
      <c r="L414" s="10"/>
    </row>
    <row r="415" spans="3:12" x14ac:dyDescent="0.2">
      <c r="C415" s="10"/>
      <c r="D415" s="10"/>
      <c r="E415" s="10"/>
      <c r="F415" s="10"/>
      <c r="G415" s="10"/>
      <c r="H415" s="10"/>
      <c r="I415" s="10"/>
      <c r="J415" s="10"/>
      <c r="K415" s="10"/>
      <c r="L415" s="10"/>
    </row>
    <row r="416" spans="3:12" x14ac:dyDescent="0.2">
      <c r="C416" s="10"/>
      <c r="D416" s="10"/>
      <c r="E416" s="10"/>
      <c r="F416" s="10"/>
      <c r="G416" s="10"/>
      <c r="H416" s="10"/>
      <c r="I416" s="10"/>
      <c r="J416" s="10"/>
      <c r="K416" s="10"/>
      <c r="L416" s="10"/>
    </row>
    <row r="417" spans="3:12" x14ac:dyDescent="0.2">
      <c r="C417" s="10"/>
      <c r="D417" s="10"/>
      <c r="E417" s="10"/>
      <c r="F417" s="10"/>
      <c r="G417" s="10"/>
      <c r="H417" s="10"/>
      <c r="I417" s="10"/>
      <c r="J417" s="10"/>
      <c r="K417" s="10"/>
      <c r="L417" s="10"/>
    </row>
    <row r="418" spans="3:12" x14ac:dyDescent="0.2">
      <c r="C418" s="10"/>
      <c r="D418" s="10"/>
      <c r="E418" s="10"/>
      <c r="F418" s="10"/>
      <c r="G418" s="10"/>
      <c r="H418" s="10"/>
      <c r="I418" s="10"/>
      <c r="J418" s="10"/>
      <c r="K418" s="10"/>
      <c r="L418" s="10"/>
    </row>
    <row r="419" spans="3:12" x14ac:dyDescent="0.2">
      <c r="C419" s="10"/>
      <c r="D419" s="10"/>
      <c r="E419" s="10"/>
      <c r="F419" s="10"/>
      <c r="G419" s="10"/>
      <c r="H419" s="10"/>
      <c r="I419" s="10"/>
      <c r="J419" s="10"/>
      <c r="K419" s="10"/>
      <c r="L419" s="10"/>
    </row>
    <row r="420" spans="3:12" x14ac:dyDescent="0.2">
      <c r="C420" s="10"/>
      <c r="D420" s="10"/>
      <c r="E420" s="10"/>
      <c r="F420" s="10"/>
      <c r="G420" s="10"/>
      <c r="H420" s="10"/>
      <c r="I420" s="10"/>
      <c r="J420" s="10"/>
      <c r="K420" s="10"/>
      <c r="L420" s="10"/>
    </row>
    <row r="421" spans="3:12" x14ac:dyDescent="0.2">
      <c r="C421" s="10"/>
      <c r="D421" s="10"/>
      <c r="E421" s="10"/>
      <c r="F421" s="10"/>
      <c r="G421" s="10"/>
      <c r="H421" s="10"/>
      <c r="I421" s="10"/>
      <c r="J421" s="10"/>
      <c r="K421" s="10"/>
      <c r="L421" s="10"/>
    </row>
    <row r="422" spans="3:12" x14ac:dyDescent="0.2">
      <c r="C422" s="10"/>
      <c r="D422" s="10"/>
      <c r="E422" s="10"/>
      <c r="F422" s="10"/>
      <c r="G422" s="10"/>
      <c r="H422" s="10"/>
      <c r="I422" s="10"/>
      <c r="J422" s="10"/>
      <c r="K422" s="10"/>
      <c r="L422" s="10"/>
    </row>
    <row r="423" spans="3:12" x14ac:dyDescent="0.2">
      <c r="C423" s="10"/>
      <c r="D423" s="10"/>
      <c r="E423" s="10"/>
      <c r="F423" s="10"/>
      <c r="G423" s="10"/>
      <c r="H423" s="10"/>
      <c r="I423" s="10"/>
      <c r="J423" s="10"/>
      <c r="K423" s="10"/>
      <c r="L423" s="10"/>
    </row>
  </sheetData>
  <mergeCells count="3">
    <mergeCell ref="C4:G4"/>
    <mergeCell ref="H4:L4"/>
    <mergeCell ref="B2:L2"/>
  </mergeCells>
  <pageMargins left="0.7" right="0.7" top="0.75" bottom="0.75" header="0.3" footer="0.3"/>
  <pageSetup paperSize="9" orientation="portrait" r:id="rId1"/>
  <ignoredErrors>
    <ignoredError sqref="H31:L31 H33:L33 H37:L37 H13:L13 H172:L172 H154:L154 H197 H87:L87 H126:M126" formula="1"/>
    <ignoredError sqref="C176:G176 I112" formulaRange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"/>
  <sheetViews>
    <sheetView workbookViewId="0">
      <selection activeCell="M20" sqref="M20"/>
    </sheetView>
  </sheetViews>
  <sheetFormatPr defaultRowHeight="12.75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2"/>
  <sheetViews>
    <sheetView showGridLines="0" workbookViewId="0"/>
  </sheetViews>
  <sheetFormatPr defaultRowHeight="15" x14ac:dyDescent="0.2"/>
  <cols>
    <col min="1" max="1" width="3" style="3" customWidth="1"/>
    <col min="2" max="2" width="46" style="3" customWidth="1"/>
    <col min="3" max="3" width="15" style="3" customWidth="1"/>
    <col min="4" max="4" width="13.6640625" style="3" customWidth="1"/>
    <col min="5" max="5" width="14.1640625" style="3" customWidth="1"/>
    <col min="6" max="6" width="14" style="3" customWidth="1"/>
    <col min="7" max="7" width="13.5" style="3" customWidth="1"/>
    <col min="8" max="8" width="14.1640625" style="3" customWidth="1"/>
    <col min="9" max="9" width="14.5" style="3" customWidth="1"/>
    <col min="10" max="10" width="15.6640625" style="3" customWidth="1"/>
    <col min="11" max="11" width="15.83203125" style="3" customWidth="1"/>
    <col min="12" max="12" width="16" style="3" customWidth="1"/>
    <col min="13" max="13" width="16.83203125" style="3" bestFit="1" customWidth="1"/>
    <col min="14" max="16384" width="9.33203125" style="3"/>
  </cols>
  <sheetData>
    <row r="2" spans="2:13" ht="18.75" x14ac:dyDescent="0.2">
      <c r="B2" s="261" t="s">
        <v>331</v>
      </c>
      <c r="C2" s="263"/>
      <c r="D2" s="263"/>
      <c r="E2" s="263"/>
      <c r="F2" s="263"/>
      <c r="G2" s="263"/>
      <c r="H2" s="263"/>
      <c r="I2" s="263"/>
      <c r="J2" s="263"/>
      <c r="K2" s="263"/>
    </row>
    <row r="4" spans="2:13" x14ac:dyDescent="0.2">
      <c r="B4" s="228" t="s">
        <v>473</v>
      </c>
    </row>
    <row r="6" spans="2:13" x14ac:dyDescent="0.2">
      <c r="B6" s="148" t="s">
        <v>332</v>
      </c>
    </row>
    <row r="7" spans="2:13" x14ac:dyDescent="0.25">
      <c r="B7" s="229"/>
      <c r="C7" s="229"/>
      <c r="D7" s="229"/>
      <c r="E7" s="229"/>
      <c r="F7" s="229"/>
      <c r="G7" s="229"/>
      <c r="H7" s="234" t="s">
        <v>340</v>
      </c>
      <c r="I7" s="234" t="s">
        <v>340</v>
      </c>
      <c r="J7" s="234" t="s">
        <v>342</v>
      </c>
      <c r="K7" s="234" t="s">
        <v>343</v>
      </c>
    </row>
    <row r="8" spans="2:13" ht="17.25" x14ac:dyDescent="0.25">
      <c r="B8" s="230" t="s">
        <v>333</v>
      </c>
      <c r="C8" s="230"/>
      <c r="D8" s="231" t="s">
        <v>334</v>
      </c>
      <c r="E8" s="232" t="s">
        <v>335</v>
      </c>
      <c r="F8" s="232" t="s">
        <v>336</v>
      </c>
      <c r="G8" s="233" t="s">
        <v>338</v>
      </c>
      <c r="H8" s="232" t="s">
        <v>339</v>
      </c>
      <c r="I8" s="232" t="s">
        <v>341</v>
      </c>
      <c r="J8" s="232" t="s">
        <v>344</v>
      </c>
      <c r="K8" s="232" t="s">
        <v>345</v>
      </c>
    </row>
    <row r="10" spans="2:13" x14ac:dyDescent="0.2">
      <c r="B10" s="3" t="s">
        <v>414</v>
      </c>
      <c r="D10" s="3" t="s">
        <v>415</v>
      </c>
      <c r="E10" s="246">
        <v>59830</v>
      </c>
      <c r="F10" s="246">
        <v>186190</v>
      </c>
      <c r="G10" s="273">
        <v>0.21</v>
      </c>
      <c r="H10" s="219">
        <f>E10/F10</f>
        <v>0.32133841774531391</v>
      </c>
      <c r="I10" s="219">
        <f>E10/(E10+F10)</f>
        <v>0.24319161043817575</v>
      </c>
      <c r="J10" s="274">
        <f>'Peer Comps Beta Calculations'!J6</f>
        <v>0.74910891233365695</v>
      </c>
      <c r="K10" s="235">
        <f>J10/(1+(1-G10)*H10)</f>
        <v>0.59744349093812488</v>
      </c>
    </row>
    <row r="11" spans="2:13" x14ac:dyDescent="0.2">
      <c r="B11" s="3" t="s">
        <v>346</v>
      </c>
      <c r="D11" s="3" t="s">
        <v>415</v>
      </c>
      <c r="E11" s="246">
        <v>67120</v>
      </c>
      <c r="F11" s="246">
        <v>3100000</v>
      </c>
      <c r="G11" s="273">
        <v>0.21</v>
      </c>
      <c r="H11" s="219">
        <f>E11/F11</f>
        <v>2.1651612903225807E-2</v>
      </c>
      <c r="I11" s="219">
        <f>E11/(E11+F11)</f>
        <v>2.119275556341408E-2</v>
      </c>
      <c r="J11" s="274">
        <f>'Peer Comps Beta Calculations'!J73</f>
        <v>0.66762773806128461</v>
      </c>
      <c r="K11" s="235">
        <f>J11/(1+(1-G11)*H11)</f>
        <v>0.65640016151791203</v>
      </c>
    </row>
    <row r="12" spans="2:13" x14ac:dyDescent="0.2">
      <c r="B12" s="3" t="s">
        <v>347</v>
      </c>
      <c r="D12" s="3" t="s">
        <v>415</v>
      </c>
      <c r="E12" s="246">
        <v>86860</v>
      </c>
      <c r="F12" s="246">
        <v>389370</v>
      </c>
      <c r="G12" s="273">
        <v>0.21</v>
      </c>
      <c r="H12" s="219">
        <f>E12/F12</f>
        <v>0.22307830598145723</v>
      </c>
      <c r="I12" s="219">
        <f>E12/(E12+F12)</f>
        <v>0.18239086155849066</v>
      </c>
      <c r="J12" s="274">
        <f>'Peer Comps Beta Calculations'!J140</f>
        <v>0.86540215408991006</v>
      </c>
      <c r="K12" s="235">
        <f>J12/(1+(1-G12)*H12)</f>
        <v>0.73574112575091977</v>
      </c>
      <c r="M12" s="246"/>
    </row>
    <row r="13" spans="2:13" x14ac:dyDescent="0.2">
      <c r="B13" s="3" t="s">
        <v>348</v>
      </c>
      <c r="D13" s="3" t="s">
        <v>413</v>
      </c>
      <c r="E13" s="246">
        <v>4600</v>
      </c>
      <c r="F13" s="246">
        <v>214190</v>
      </c>
      <c r="G13" s="273">
        <v>0.23400000000000001</v>
      </c>
      <c r="H13" s="219">
        <f>E13/F13</f>
        <v>2.1476259395863485E-2</v>
      </c>
      <c r="I13" s="219">
        <f>E13/(E13+F13)</f>
        <v>2.1024726907079849E-2</v>
      </c>
      <c r="J13" s="274">
        <f>'Peer Comps Beta Calculations'!J207</f>
        <v>1.1190289390394019</v>
      </c>
      <c r="K13" s="235">
        <f>J13/(1+(1-G13)*H13)</f>
        <v>1.1009179419790471</v>
      </c>
    </row>
    <row r="14" spans="2:13" x14ac:dyDescent="0.2">
      <c r="B14" s="3" t="s">
        <v>349</v>
      </c>
      <c r="D14" s="3" t="s">
        <v>350</v>
      </c>
      <c r="E14" s="246">
        <v>10280</v>
      </c>
      <c r="F14" s="246">
        <v>259350</v>
      </c>
      <c r="G14" s="273">
        <v>0.15825</v>
      </c>
      <c r="H14" s="219">
        <f>E14/F14</f>
        <v>3.9637555427029111E-2</v>
      </c>
      <c r="I14" s="219">
        <f>E14/(E14+F14)</f>
        <v>3.8126321255053219E-2</v>
      </c>
      <c r="J14" s="274">
        <f>'Peer Comps Beta Calculations'!J274</f>
        <v>1.1769903549160372</v>
      </c>
      <c r="K14" s="235">
        <f>J14/(1+(1-G14)*H14)</f>
        <v>1.1389881163260565</v>
      </c>
    </row>
    <row r="16" spans="2:13" x14ac:dyDescent="0.2">
      <c r="F16" s="236" t="s">
        <v>351</v>
      </c>
      <c r="G16" s="237">
        <f>AVERAGE(G10:G14)</f>
        <v>0.20445000000000002</v>
      </c>
      <c r="H16" s="237">
        <f>AVERAGE(H10:H14)</f>
        <v>0.12543643029057791</v>
      </c>
      <c r="I16" s="237">
        <f>AVERAGE(I10:I14)</f>
        <v>0.10118525514444272</v>
      </c>
      <c r="J16" s="238">
        <f>AVERAGE(J10:J14)</f>
        <v>0.91563161968805817</v>
      </c>
      <c r="K16" s="238">
        <f>AVERAGE(K10:K14)</f>
        <v>0.84589816730241219</v>
      </c>
    </row>
    <row r="17" spans="2:13" x14ac:dyDescent="0.2">
      <c r="F17" s="239" t="s">
        <v>254</v>
      </c>
      <c r="G17" s="240">
        <f>MEDIAN(G10:G14)</f>
        <v>0.21</v>
      </c>
      <c r="H17" s="240">
        <f>MEDIAN(H10:H14)</f>
        <v>3.9637555427029111E-2</v>
      </c>
      <c r="I17" s="240">
        <f>MEDIAN(I10:I14)</f>
        <v>3.8126321255053219E-2</v>
      </c>
      <c r="J17" s="241">
        <f>MEDIAN(J10:J14)</f>
        <v>0.86540215408991006</v>
      </c>
      <c r="K17" s="241">
        <f>MEDIAN(K10:K14)</f>
        <v>0.73574112575091977</v>
      </c>
    </row>
    <row r="20" spans="2:13" x14ac:dyDescent="0.2">
      <c r="B20" s="239" t="s">
        <v>352</v>
      </c>
      <c r="C20" s="239"/>
      <c r="D20" s="230"/>
      <c r="E20" s="230"/>
      <c r="G20" s="239" t="s">
        <v>355</v>
      </c>
      <c r="H20" s="230"/>
      <c r="I20" s="230"/>
      <c r="J20" s="230"/>
      <c r="K20" s="230"/>
    </row>
    <row r="22" spans="2:13" x14ac:dyDescent="0.2">
      <c r="B22" s="3" t="s">
        <v>353</v>
      </c>
      <c r="E22" s="273">
        <v>7.1999999999999995E-2</v>
      </c>
      <c r="F22" s="29"/>
      <c r="G22" s="3" t="s">
        <v>356</v>
      </c>
      <c r="K22" s="273">
        <v>3.909E-2</v>
      </c>
    </row>
    <row r="23" spans="2:13" x14ac:dyDescent="0.2">
      <c r="B23" s="3" t="s">
        <v>337</v>
      </c>
      <c r="E23" s="268">
        <f>G17</f>
        <v>0.21</v>
      </c>
      <c r="F23" s="29"/>
      <c r="G23" s="3" t="s">
        <v>357</v>
      </c>
      <c r="K23" s="268">
        <f>Rm!H6-WACC!K22</f>
        <v>4.2846740929589483E-2</v>
      </c>
    </row>
    <row r="24" spans="2:13" ht="17.25" x14ac:dyDescent="0.2">
      <c r="B24" s="242" t="s">
        <v>354</v>
      </c>
      <c r="C24" s="242"/>
      <c r="D24" s="242"/>
      <c r="E24" s="244">
        <f>E22*(1-E23)</f>
        <v>5.688E-2</v>
      </c>
      <c r="F24" s="29"/>
      <c r="G24" s="3" t="s">
        <v>358</v>
      </c>
      <c r="K24" s="11">
        <f>K33</f>
        <v>0.75877987967591831</v>
      </c>
      <c r="M24" s="272"/>
    </row>
    <row r="25" spans="2:13" x14ac:dyDescent="0.2">
      <c r="G25" s="242" t="s">
        <v>355</v>
      </c>
      <c r="H25" s="242"/>
      <c r="I25" s="242"/>
      <c r="J25" s="242"/>
      <c r="K25" s="244">
        <f>K22+(K23*K24)</f>
        <v>7.160124492705916E-2</v>
      </c>
    </row>
    <row r="28" spans="2:13" x14ac:dyDescent="0.2">
      <c r="B28" s="239" t="s">
        <v>359</v>
      </c>
      <c r="C28" s="239"/>
      <c r="D28" s="230"/>
      <c r="E28" s="230"/>
      <c r="G28" s="239" t="s">
        <v>364</v>
      </c>
      <c r="H28" s="239"/>
      <c r="I28" s="230"/>
      <c r="J28" s="230"/>
      <c r="K28" s="230"/>
    </row>
    <row r="30" spans="2:13" x14ac:dyDescent="0.2">
      <c r="D30" s="245" t="s">
        <v>360</v>
      </c>
      <c r="E30" s="245" t="s">
        <v>361</v>
      </c>
      <c r="G30" s="3" t="s">
        <v>365</v>
      </c>
      <c r="K30" s="11">
        <f>K17</f>
        <v>0.73574112575091977</v>
      </c>
    </row>
    <row r="31" spans="2:13" x14ac:dyDescent="0.2">
      <c r="B31" s="3" t="s">
        <v>335</v>
      </c>
      <c r="C31" s="267">
        <f>E10</f>
        <v>59830</v>
      </c>
      <c r="D31" s="29">
        <f>C31/$C$33</f>
        <v>0.24319161043817575</v>
      </c>
      <c r="E31" s="268">
        <f>I17</f>
        <v>3.8126321255053219E-2</v>
      </c>
      <c r="G31" s="3" t="s">
        <v>366</v>
      </c>
      <c r="K31" s="30">
        <f>E35</f>
        <v>3.9637555427029111E-2</v>
      </c>
    </row>
    <row r="32" spans="2:13" x14ac:dyDescent="0.2">
      <c r="B32" s="3" t="s">
        <v>362</v>
      </c>
      <c r="C32" s="267">
        <f>F10</f>
        <v>186190</v>
      </c>
      <c r="D32" s="29">
        <f>C32/$C$33</f>
        <v>0.75680838956182428</v>
      </c>
      <c r="E32" s="30">
        <f>E33-E31</f>
        <v>0.96187367874494678</v>
      </c>
      <c r="G32" s="3" t="s">
        <v>337</v>
      </c>
      <c r="K32" s="30">
        <f>E23</f>
        <v>0.21</v>
      </c>
    </row>
    <row r="33" spans="2:11" x14ac:dyDescent="0.2">
      <c r="B33" s="242" t="s">
        <v>363</v>
      </c>
      <c r="C33" s="266">
        <f>SUM(C31:C32)</f>
        <v>246020</v>
      </c>
      <c r="D33" s="243">
        <f>C33/$C$33</f>
        <v>1</v>
      </c>
      <c r="E33" s="247">
        <f>D33</f>
        <v>1</v>
      </c>
      <c r="G33" s="242" t="s">
        <v>364</v>
      </c>
      <c r="H33" s="242"/>
      <c r="I33" s="242"/>
      <c r="J33" s="242"/>
      <c r="K33" s="249">
        <f>K30*(1+(1-K32)*K31)</f>
        <v>0.75877987967591831</v>
      </c>
    </row>
    <row r="35" spans="2:11" x14ac:dyDescent="0.2">
      <c r="B35" s="3" t="s">
        <v>367</v>
      </c>
      <c r="D35" s="248">
        <f>D31/D32</f>
        <v>0.32133841774531391</v>
      </c>
      <c r="E35" s="248">
        <f>E31/E32</f>
        <v>3.9637555427029111E-2</v>
      </c>
    </row>
    <row r="36" spans="2:11" x14ac:dyDescent="0.2">
      <c r="G36" s="239" t="s">
        <v>331</v>
      </c>
      <c r="H36" s="239"/>
      <c r="I36" s="230"/>
      <c r="J36" s="230"/>
      <c r="K36" s="230"/>
    </row>
    <row r="37" spans="2:11" x14ac:dyDescent="0.2">
      <c r="B37" s="250" t="s">
        <v>371</v>
      </c>
    </row>
    <row r="38" spans="2:11" x14ac:dyDescent="0.2">
      <c r="B38" s="250" t="s">
        <v>418</v>
      </c>
      <c r="J38" s="245" t="s">
        <v>369</v>
      </c>
      <c r="K38" s="245" t="s">
        <v>370</v>
      </c>
    </row>
    <row r="39" spans="2:11" x14ac:dyDescent="0.2">
      <c r="B39" s="250" t="s">
        <v>372</v>
      </c>
      <c r="G39" s="3" t="s">
        <v>368</v>
      </c>
      <c r="J39" s="30">
        <f>E24</f>
        <v>5.688E-2</v>
      </c>
      <c r="K39" s="30">
        <f>E31</f>
        <v>3.8126321255053219E-2</v>
      </c>
    </row>
    <row r="40" spans="2:11" x14ac:dyDescent="0.2">
      <c r="B40" s="250" t="s">
        <v>373</v>
      </c>
      <c r="G40" s="3" t="s">
        <v>339</v>
      </c>
      <c r="J40" s="30">
        <f>K25</f>
        <v>7.160124492705916E-2</v>
      </c>
      <c r="K40" s="30">
        <f>E32</f>
        <v>0.96187367874494678</v>
      </c>
    </row>
    <row r="41" spans="2:11" ht="15.75" thickBot="1" x14ac:dyDescent="0.25">
      <c r="B41" s="250" t="s">
        <v>374</v>
      </c>
      <c r="G41" s="275" t="s">
        <v>331</v>
      </c>
      <c r="H41" s="275"/>
      <c r="I41" s="275"/>
      <c r="J41" s="276"/>
      <c r="K41" s="277">
        <f>SUMPRODUCT(J39:J40,K39:K40)</f>
        <v>7.103997801369577E-2</v>
      </c>
    </row>
    <row r="42" spans="2:11" ht="15.75" thickTop="1" x14ac:dyDescent="0.2"/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334"/>
  <sheetViews>
    <sheetView showGridLines="0" workbookViewId="0"/>
  </sheetViews>
  <sheetFormatPr defaultRowHeight="15" x14ac:dyDescent="0.2"/>
  <cols>
    <col min="1" max="1" width="3" style="3" customWidth="1"/>
    <col min="2" max="2" width="15.33203125" style="3" customWidth="1"/>
    <col min="3" max="4" width="15.33203125" style="10" customWidth="1"/>
    <col min="5" max="5" width="9.33203125" style="3"/>
    <col min="6" max="6" width="14.5" style="3" bestFit="1" customWidth="1"/>
    <col min="7" max="7" width="13" style="10" customWidth="1"/>
    <col min="8" max="8" width="9.33203125" style="3"/>
    <col min="9" max="9" width="15.33203125" style="3" bestFit="1" customWidth="1"/>
    <col min="10" max="11" width="9.33203125" style="3"/>
    <col min="12" max="12" width="21" style="3" bestFit="1" customWidth="1"/>
    <col min="13" max="13" width="14.1640625" style="3" bestFit="1" customWidth="1"/>
    <col min="14" max="14" width="17" style="3" bestFit="1" customWidth="1"/>
    <col min="15" max="16" width="14.1640625" style="3" bestFit="1" customWidth="1"/>
    <col min="17" max="17" width="15.6640625" style="3" bestFit="1" customWidth="1"/>
    <col min="18" max="18" width="14.1640625" style="3" bestFit="1" customWidth="1"/>
    <col min="19" max="19" width="14.6640625" style="3" bestFit="1" customWidth="1"/>
    <col min="20" max="20" width="14.83203125" style="3" bestFit="1" customWidth="1"/>
    <col min="21" max="16384" width="9.33203125" style="3"/>
  </cols>
  <sheetData>
    <row r="2" spans="1:17" ht="18.75" x14ac:dyDescent="0.25">
      <c r="A2" s="5" t="s">
        <v>182</v>
      </c>
      <c r="B2" s="261" t="s">
        <v>416</v>
      </c>
      <c r="C2" s="262"/>
      <c r="D2" s="262"/>
      <c r="E2" s="263"/>
      <c r="F2" s="263"/>
      <c r="G2" s="262"/>
      <c r="H2" s="263"/>
      <c r="I2" s="263"/>
      <c r="J2" s="263"/>
    </row>
    <row r="4" spans="1:17" x14ac:dyDescent="0.2">
      <c r="B4" s="338" t="s">
        <v>417</v>
      </c>
      <c r="C4" s="338"/>
      <c r="D4" s="338"/>
      <c r="F4" s="338" t="s">
        <v>379</v>
      </c>
      <c r="G4" s="338"/>
    </row>
    <row r="6" spans="1:17" x14ac:dyDescent="0.25">
      <c r="B6" s="252" t="s">
        <v>375</v>
      </c>
      <c r="C6" s="253" t="s">
        <v>376</v>
      </c>
      <c r="D6" s="253" t="s">
        <v>378</v>
      </c>
      <c r="F6" s="253" t="s">
        <v>376</v>
      </c>
      <c r="G6" s="253" t="s">
        <v>378</v>
      </c>
      <c r="I6" s="259" t="s">
        <v>405</v>
      </c>
      <c r="J6" s="260">
        <f>M23</f>
        <v>0.74910891233365695</v>
      </c>
      <c r="L6" s="3" t="s">
        <v>380</v>
      </c>
    </row>
    <row r="7" spans="1:17" ht="15.75" thickBot="1" x14ac:dyDescent="0.3">
      <c r="B7" s="251">
        <v>43709</v>
      </c>
      <c r="C7" s="254">
        <v>109.746208</v>
      </c>
      <c r="F7" s="255">
        <v>13004.740234000001</v>
      </c>
    </row>
    <row r="8" spans="1:17" x14ac:dyDescent="0.25">
      <c r="B8" s="251">
        <v>43739</v>
      </c>
      <c r="C8" s="254">
        <v>100.923935</v>
      </c>
      <c r="D8" s="29">
        <f>C8/C7-1</f>
        <v>-8.0387952903119841E-2</v>
      </c>
      <c r="F8" s="255">
        <v>13171.809569999999</v>
      </c>
      <c r="G8" s="29">
        <f>F8/F7-1</f>
        <v>1.2846803011351771E-2</v>
      </c>
      <c r="L8" s="256" t="s">
        <v>381</v>
      </c>
      <c r="M8" s="256"/>
    </row>
    <row r="9" spans="1:17" x14ac:dyDescent="0.25">
      <c r="B9" s="251">
        <v>43770</v>
      </c>
      <c r="C9" s="254">
        <v>101.467316</v>
      </c>
      <c r="D9" s="29">
        <f t="shared" ref="D9:D66" si="0">C9/C8-1</f>
        <v>5.3840647414311604E-3</v>
      </c>
      <c r="F9" s="255">
        <v>13545.209961</v>
      </c>
      <c r="G9" s="29">
        <f t="shared" ref="G9:G66" si="1">F9/F8-1</f>
        <v>2.8348450455164098E-2</v>
      </c>
      <c r="L9" s="84" t="s">
        <v>382</v>
      </c>
      <c r="M9" s="84">
        <v>0.56982590922432641</v>
      </c>
    </row>
    <row r="10" spans="1:17" x14ac:dyDescent="0.25">
      <c r="B10" s="251">
        <v>43800</v>
      </c>
      <c r="C10" s="254">
        <v>102.35266900000001</v>
      </c>
      <c r="D10" s="29">
        <f t="shared" si="0"/>
        <v>8.7254993519292334E-3</v>
      </c>
      <c r="F10" s="255">
        <v>13913.030273</v>
      </c>
      <c r="G10" s="29">
        <f t="shared" si="1"/>
        <v>2.7155010004204172E-2</v>
      </c>
      <c r="L10" s="84" t="s">
        <v>383</v>
      </c>
      <c r="M10" s="84">
        <v>0.32470156682333035</v>
      </c>
    </row>
    <row r="11" spans="1:17" x14ac:dyDescent="0.25">
      <c r="B11" s="251">
        <v>43831</v>
      </c>
      <c r="C11" s="254">
        <v>109.751953</v>
      </c>
      <c r="D11" s="29">
        <f t="shared" si="0"/>
        <v>7.2292047411093741E-2</v>
      </c>
      <c r="F11" s="255">
        <v>13614.099609000001</v>
      </c>
      <c r="G11" s="29">
        <f t="shared" si="1"/>
        <v>-2.1485661867645889E-2</v>
      </c>
      <c r="L11" s="84" t="s">
        <v>384</v>
      </c>
      <c r="M11" s="84">
        <v>0.31285422589040629</v>
      </c>
    </row>
    <row r="12" spans="1:17" x14ac:dyDescent="0.25">
      <c r="B12" s="251">
        <v>43862</v>
      </c>
      <c r="C12" s="254">
        <v>99.382262999999995</v>
      </c>
      <c r="D12" s="29">
        <f t="shared" si="0"/>
        <v>-9.4482965601532465E-2</v>
      </c>
      <c r="F12" s="255">
        <v>12380.969727</v>
      </c>
      <c r="G12" s="29">
        <f t="shared" si="1"/>
        <v>-9.0577409995208469E-2</v>
      </c>
      <c r="L12" s="84" t="s">
        <v>385</v>
      </c>
      <c r="M12" s="84">
        <v>5.662628914817637E-2</v>
      </c>
    </row>
    <row r="13" spans="1:17" ht="15.75" thickBot="1" x14ac:dyDescent="0.3">
      <c r="B13" s="251">
        <v>43891</v>
      </c>
      <c r="C13" s="254">
        <v>85.590439000000003</v>
      </c>
      <c r="D13" s="29">
        <f t="shared" si="0"/>
        <v>-0.13877550765773961</v>
      </c>
      <c r="F13" s="255">
        <v>10301.870117</v>
      </c>
      <c r="G13" s="29">
        <f t="shared" si="1"/>
        <v>-0.16792704092200217</v>
      </c>
      <c r="L13" s="257" t="s">
        <v>386</v>
      </c>
      <c r="M13" s="257">
        <v>59</v>
      </c>
    </row>
    <row r="14" spans="1:17" x14ac:dyDescent="0.25">
      <c r="B14" s="251">
        <v>43922</v>
      </c>
      <c r="C14" s="254">
        <v>96.878532000000007</v>
      </c>
      <c r="D14" s="29">
        <f t="shared" si="0"/>
        <v>0.13188497607776029</v>
      </c>
      <c r="F14" s="255">
        <v>11372.339844</v>
      </c>
      <c r="G14" s="29">
        <f t="shared" si="1"/>
        <v>0.10391023327245463</v>
      </c>
    </row>
    <row r="15" spans="1:17" ht="15.75" thickBot="1" x14ac:dyDescent="0.3">
      <c r="B15" s="251">
        <v>43952</v>
      </c>
      <c r="C15" s="254">
        <v>96.369308000000004</v>
      </c>
      <c r="D15" s="29">
        <f t="shared" si="0"/>
        <v>-5.2563141646283507E-3</v>
      </c>
      <c r="F15" s="255">
        <v>11802.950194999999</v>
      </c>
      <c r="G15" s="29">
        <f t="shared" si="1"/>
        <v>3.7864710069070551E-2</v>
      </c>
      <c r="L15" s="3" t="s">
        <v>387</v>
      </c>
    </row>
    <row r="16" spans="1:17" x14ac:dyDescent="0.25">
      <c r="B16" s="251">
        <v>43983</v>
      </c>
      <c r="C16" s="254">
        <v>94.432411000000002</v>
      </c>
      <c r="D16" s="29">
        <f t="shared" si="0"/>
        <v>-2.0098691587574713E-2</v>
      </c>
      <c r="F16" s="255">
        <v>11893.780273</v>
      </c>
      <c r="G16" s="29">
        <f t="shared" si="1"/>
        <v>7.6955402250598048E-3</v>
      </c>
      <c r="L16" s="258"/>
      <c r="M16" s="258" t="s">
        <v>392</v>
      </c>
      <c r="N16" s="258" t="s">
        <v>393</v>
      </c>
      <c r="O16" s="258" t="s">
        <v>394</v>
      </c>
      <c r="P16" s="258" t="s">
        <v>395</v>
      </c>
      <c r="Q16" s="258" t="s">
        <v>396</v>
      </c>
    </row>
    <row r="17" spans="2:20" x14ac:dyDescent="0.25">
      <c r="B17" s="251">
        <v>44013</v>
      </c>
      <c r="C17" s="254">
        <v>96.129165999999998</v>
      </c>
      <c r="D17" s="29">
        <f t="shared" si="0"/>
        <v>1.7967930523345332E-2</v>
      </c>
      <c r="F17" s="255">
        <v>12465.049805000001</v>
      </c>
      <c r="G17" s="29">
        <f t="shared" si="1"/>
        <v>4.803094717470402E-2</v>
      </c>
      <c r="L17" s="84" t="s">
        <v>388</v>
      </c>
      <c r="M17" s="84">
        <v>1</v>
      </c>
      <c r="N17" s="84">
        <v>8.7881953542109953E-2</v>
      </c>
      <c r="O17" s="84">
        <v>8.7881953542109953E-2</v>
      </c>
      <c r="P17" s="84">
        <v>27.407126093668609</v>
      </c>
      <c r="Q17" s="84">
        <v>2.4705824824590223E-6</v>
      </c>
    </row>
    <row r="18" spans="2:20" x14ac:dyDescent="0.25">
      <c r="B18" s="251">
        <v>44044</v>
      </c>
      <c r="C18" s="254">
        <v>96.418480000000002</v>
      </c>
      <c r="D18" s="29">
        <f t="shared" si="0"/>
        <v>3.0096380946444956E-3</v>
      </c>
      <c r="F18" s="255">
        <v>13045.599609000001</v>
      </c>
      <c r="G18" s="29">
        <f t="shared" si="1"/>
        <v>4.657420652800992E-2</v>
      </c>
      <c r="L18" s="84" t="s">
        <v>389</v>
      </c>
      <c r="M18" s="84">
        <v>57</v>
      </c>
      <c r="N18" s="84">
        <v>0.18277258749349398</v>
      </c>
      <c r="O18" s="84">
        <v>3.2065366226928767E-3</v>
      </c>
      <c r="P18" s="84"/>
      <c r="Q18" s="84"/>
    </row>
    <row r="19" spans="2:20" ht="15.75" thickBot="1" x14ac:dyDescent="0.3">
      <c r="B19" s="251">
        <v>44075</v>
      </c>
      <c r="C19" s="254">
        <v>96.381789999999995</v>
      </c>
      <c r="D19" s="29">
        <f t="shared" si="0"/>
        <v>-3.8052871192340021E-4</v>
      </c>
      <c r="F19" s="255">
        <v>12701.889648</v>
      </c>
      <c r="G19" s="29">
        <f t="shared" si="1"/>
        <v>-2.6346812051695867E-2</v>
      </c>
      <c r="L19" s="257" t="s">
        <v>390</v>
      </c>
      <c r="M19" s="257">
        <v>58</v>
      </c>
      <c r="N19" s="257">
        <v>0.27065454103560393</v>
      </c>
      <c r="O19" s="257"/>
      <c r="P19" s="257"/>
      <c r="Q19" s="257"/>
    </row>
    <row r="20" spans="2:20" ht="15.75" thickBot="1" x14ac:dyDescent="0.3">
      <c r="B20" s="251">
        <v>44105</v>
      </c>
      <c r="C20" s="254">
        <v>88.452278000000007</v>
      </c>
      <c r="D20" s="29">
        <f t="shared" si="0"/>
        <v>-8.2271889741827642E-2</v>
      </c>
      <c r="F20" s="255">
        <v>12429.330078000001</v>
      </c>
      <c r="G20" s="29">
        <f t="shared" si="1"/>
        <v>-2.1458190675032074E-2</v>
      </c>
    </row>
    <row r="21" spans="2:20" x14ac:dyDescent="0.25">
      <c r="B21" s="251">
        <v>44136</v>
      </c>
      <c r="C21" s="254">
        <v>97.847267000000002</v>
      </c>
      <c r="D21" s="29">
        <f t="shared" si="0"/>
        <v>0.10621534246975517</v>
      </c>
      <c r="F21" s="255">
        <v>14006.459961</v>
      </c>
      <c r="G21" s="29">
        <f t="shared" si="1"/>
        <v>0.12688776250230327</v>
      </c>
      <c r="L21" s="258"/>
      <c r="M21" s="258" t="s">
        <v>397</v>
      </c>
      <c r="N21" s="258" t="s">
        <v>385</v>
      </c>
      <c r="O21" s="258" t="s">
        <v>398</v>
      </c>
      <c r="P21" s="258" t="s">
        <v>399</v>
      </c>
      <c r="Q21" s="258" t="s">
        <v>400</v>
      </c>
      <c r="R21" s="258" t="s">
        <v>401</v>
      </c>
      <c r="S21" s="258" t="s">
        <v>402</v>
      </c>
      <c r="T21" s="258" t="s">
        <v>403</v>
      </c>
    </row>
    <row r="22" spans="2:20" x14ac:dyDescent="0.25">
      <c r="B22" s="251">
        <v>44166</v>
      </c>
      <c r="C22" s="254">
        <v>101.162712</v>
      </c>
      <c r="D22" s="29">
        <f t="shared" si="0"/>
        <v>3.3883879454701615E-2</v>
      </c>
      <c r="F22" s="255">
        <v>14524.799805000001</v>
      </c>
      <c r="G22" s="29">
        <f t="shared" si="1"/>
        <v>3.7007198495785598E-2</v>
      </c>
      <c r="L22" s="84" t="s">
        <v>391</v>
      </c>
      <c r="M22" s="84">
        <v>6.8195382769951829E-3</v>
      </c>
      <c r="N22" s="84">
        <v>7.4522514522131003E-3</v>
      </c>
      <c r="O22" s="84">
        <v>0.91509771519719452</v>
      </c>
      <c r="P22" s="84">
        <v>0.36399547784384789</v>
      </c>
      <c r="Q22" s="84">
        <v>-8.1033378500127949E-3</v>
      </c>
      <c r="R22" s="84">
        <v>2.1742414404003159E-2</v>
      </c>
      <c r="S22" s="84">
        <v>-8.1033378500127949E-3</v>
      </c>
      <c r="T22" s="84">
        <v>2.1742414404003159E-2</v>
      </c>
    </row>
    <row r="23" spans="2:20" ht="15.75" thickBot="1" x14ac:dyDescent="0.3">
      <c r="B23" s="251">
        <v>44197</v>
      </c>
      <c r="C23" s="254">
        <v>95.722046000000006</v>
      </c>
      <c r="D23" s="29">
        <f t="shared" si="0"/>
        <v>-5.378133793012585E-2</v>
      </c>
      <c r="F23" s="255">
        <v>14397.200194999999</v>
      </c>
      <c r="G23" s="29">
        <f t="shared" si="1"/>
        <v>-8.7849479313357737E-3</v>
      </c>
      <c r="L23" s="257" t="s">
        <v>404</v>
      </c>
      <c r="M23" s="257">
        <v>0.74910891233365695</v>
      </c>
      <c r="N23" s="257">
        <v>0.14309129530765294</v>
      </c>
      <c r="O23" s="257">
        <v>5.2351815721776642</v>
      </c>
      <c r="P23" s="257">
        <v>2.4705824824590223E-6</v>
      </c>
      <c r="Q23" s="257">
        <v>0.46257353595487266</v>
      </c>
      <c r="R23" s="257">
        <v>1.0356442887124413</v>
      </c>
      <c r="S23" s="257">
        <v>0.46257353595487266</v>
      </c>
      <c r="T23" s="257">
        <v>1.0356442887124413</v>
      </c>
    </row>
    <row r="24" spans="2:20" x14ac:dyDescent="0.25">
      <c r="B24" s="251">
        <v>44228</v>
      </c>
      <c r="C24" s="254">
        <v>95.577376999999998</v>
      </c>
      <c r="D24" s="29">
        <f t="shared" si="0"/>
        <v>-1.5113446279659826E-3</v>
      </c>
      <c r="F24" s="255">
        <v>15010.469727</v>
      </c>
      <c r="G24" s="29">
        <f t="shared" si="1"/>
        <v>4.259644400950835E-2</v>
      </c>
      <c r="L24"/>
      <c r="M24"/>
      <c r="N24"/>
      <c r="O24"/>
      <c r="P24"/>
      <c r="Q24"/>
      <c r="R24"/>
      <c r="S24"/>
      <c r="T24"/>
    </row>
    <row r="25" spans="2:20" x14ac:dyDescent="0.25">
      <c r="B25" s="251">
        <v>44256</v>
      </c>
      <c r="C25" s="254">
        <v>108.524689</v>
      </c>
      <c r="D25" s="29">
        <f t="shared" si="0"/>
        <v>0.1354641904433096</v>
      </c>
      <c r="F25" s="255">
        <v>15601.740234000001</v>
      </c>
      <c r="G25" s="29">
        <f t="shared" si="1"/>
        <v>3.9390539920043599E-2</v>
      </c>
      <c r="L25"/>
      <c r="M25"/>
      <c r="N25"/>
      <c r="O25"/>
      <c r="P25"/>
      <c r="Q25"/>
      <c r="R25"/>
      <c r="S25"/>
      <c r="T25"/>
    </row>
    <row r="26" spans="2:20" x14ac:dyDescent="0.25">
      <c r="B26" s="251">
        <v>44287</v>
      </c>
      <c r="C26" s="254">
        <v>115.54467</v>
      </c>
      <c r="D26" s="29">
        <f t="shared" si="0"/>
        <v>6.4685566617933343E-2</v>
      </c>
      <c r="F26" s="255">
        <v>16219.330078000001</v>
      </c>
      <c r="G26" s="29">
        <f t="shared" si="1"/>
        <v>3.958467675638655E-2</v>
      </c>
      <c r="L26"/>
      <c r="M26"/>
      <c r="N26"/>
      <c r="O26"/>
      <c r="P26"/>
      <c r="Q26"/>
      <c r="R26"/>
      <c r="S26"/>
      <c r="T26"/>
    </row>
    <row r="27" spans="2:20" x14ac:dyDescent="0.25">
      <c r="B27" s="251">
        <v>44317</v>
      </c>
      <c r="C27" s="254">
        <v>117.05940200000001</v>
      </c>
      <c r="D27" s="29">
        <f t="shared" si="0"/>
        <v>1.310949263172434E-2</v>
      </c>
      <c r="F27" s="255">
        <v>16555.660156000002</v>
      </c>
      <c r="G27" s="29">
        <f t="shared" si="1"/>
        <v>2.0736372981039475E-2</v>
      </c>
    </row>
    <row r="28" spans="2:20" x14ac:dyDescent="0.25">
      <c r="B28" s="251">
        <v>44348</v>
      </c>
      <c r="C28" s="254">
        <v>120.714279</v>
      </c>
      <c r="D28" s="29">
        <f t="shared" si="0"/>
        <v>3.1222413044618147E-2</v>
      </c>
      <c r="F28" s="255">
        <v>16555.349609000001</v>
      </c>
      <c r="G28" s="29">
        <f t="shared" si="1"/>
        <v>-1.8757753968978719E-5</v>
      </c>
    </row>
    <row r="29" spans="2:20" x14ac:dyDescent="0.25">
      <c r="B29" s="251">
        <v>44378</v>
      </c>
      <c r="C29" s="254">
        <v>116.078064</v>
      </c>
      <c r="D29" s="29">
        <f t="shared" si="0"/>
        <v>-3.8406516929119894E-2</v>
      </c>
      <c r="F29" s="255">
        <v>16602.289063</v>
      </c>
      <c r="G29" s="29">
        <f t="shared" si="1"/>
        <v>2.8353043039623937E-3</v>
      </c>
    </row>
    <row r="30" spans="2:20" x14ac:dyDescent="0.25">
      <c r="B30" s="251">
        <v>44409</v>
      </c>
      <c r="C30" s="254">
        <v>115.567482</v>
      </c>
      <c r="D30" s="29">
        <f t="shared" si="0"/>
        <v>-4.3986088534350154E-3</v>
      </c>
      <c r="F30" s="255">
        <v>16806.439452999999</v>
      </c>
      <c r="G30" s="29">
        <f t="shared" si="1"/>
        <v>1.2296520631903007E-2</v>
      </c>
    </row>
    <row r="31" spans="2:20" x14ac:dyDescent="0.25">
      <c r="B31" s="251">
        <v>44440</v>
      </c>
      <c r="C31" s="254">
        <v>115.72352600000001</v>
      </c>
      <c r="D31" s="29">
        <f t="shared" si="0"/>
        <v>1.3502414113339967E-3</v>
      </c>
      <c r="F31" s="255">
        <v>16144.919921999999</v>
      </c>
      <c r="G31" s="29">
        <f t="shared" si="1"/>
        <v>-3.936107542885392E-2</v>
      </c>
    </row>
    <row r="32" spans="2:20" x14ac:dyDescent="0.25">
      <c r="B32" s="251">
        <v>44470</v>
      </c>
      <c r="C32" s="254">
        <v>104.203644</v>
      </c>
      <c r="D32" s="29">
        <f t="shared" si="0"/>
        <v>-9.954658657739146E-2</v>
      </c>
      <c r="F32" s="255">
        <v>17016.410156000002</v>
      </c>
      <c r="G32" s="29">
        <f t="shared" si="1"/>
        <v>5.3979223075145688E-2</v>
      </c>
    </row>
    <row r="33" spans="2:7" x14ac:dyDescent="0.25">
      <c r="B33" s="251">
        <v>44501</v>
      </c>
      <c r="C33" s="254">
        <v>102.026794</v>
      </c>
      <c r="D33" s="29">
        <f t="shared" si="0"/>
        <v>-2.0890344295445229E-2</v>
      </c>
      <c r="F33" s="255">
        <v>16318.969727</v>
      </c>
      <c r="G33" s="29">
        <f t="shared" si="1"/>
        <v>-4.0986343335999376E-2</v>
      </c>
    </row>
    <row r="34" spans="2:7" x14ac:dyDescent="0.25">
      <c r="B34" s="251">
        <v>44531</v>
      </c>
      <c r="C34" s="254">
        <v>118.00917099999999</v>
      </c>
      <c r="D34" s="29">
        <f t="shared" si="0"/>
        <v>0.15664882109301592</v>
      </c>
      <c r="F34" s="255">
        <v>17164.130859000001</v>
      </c>
      <c r="G34" s="29">
        <f t="shared" si="1"/>
        <v>5.179010355057323E-2</v>
      </c>
    </row>
    <row r="35" spans="2:7" x14ac:dyDescent="0.25">
      <c r="B35" s="251">
        <v>44562</v>
      </c>
      <c r="C35" s="254">
        <v>117.929726</v>
      </c>
      <c r="D35" s="29">
        <f t="shared" si="0"/>
        <v>-6.7321038972467662E-4</v>
      </c>
      <c r="F35" s="255">
        <v>16659.769531000002</v>
      </c>
      <c r="G35" s="29">
        <f t="shared" si="1"/>
        <v>-2.9384612139305433E-2</v>
      </c>
    </row>
    <row r="36" spans="2:7" x14ac:dyDescent="0.25">
      <c r="B36" s="251">
        <v>44593</v>
      </c>
      <c r="C36" s="254">
        <v>108.16476400000001</v>
      </c>
      <c r="D36" s="29">
        <f t="shared" si="0"/>
        <v>-8.2803228085173375E-2</v>
      </c>
      <c r="F36" s="255">
        <v>16313.889648</v>
      </c>
      <c r="G36" s="29">
        <f t="shared" si="1"/>
        <v>-2.0761384625183399E-2</v>
      </c>
    </row>
    <row r="37" spans="2:7" x14ac:dyDescent="0.25">
      <c r="B37" s="251">
        <v>44621</v>
      </c>
      <c r="C37" s="254">
        <v>116.17815400000001</v>
      </c>
      <c r="D37" s="29">
        <f t="shared" si="0"/>
        <v>7.4085031979545635E-2</v>
      </c>
      <c r="F37" s="255">
        <v>16670.910156000002</v>
      </c>
      <c r="G37" s="29">
        <f t="shared" si="1"/>
        <v>2.1884450348955919E-2</v>
      </c>
    </row>
    <row r="38" spans="2:7" x14ac:dyDescent="0.25">
      <c r="B38" s="251">
        <v>44652</v>
      </c>
      <c r="C38" s="254">
        <v>118.135025</v>
      </c>
      <c r="D38" s="29">
        <f t="shared" si="0"/>
        <v>1.6843708843919059E-2</v>
      </c>
      <c r="F38" s="255">
        <v>15615.25</v>
      </c>
      <c r="G38" s="29">
        <f t="shared" si="1"/>
        <v>-6.3323486607602009E-2</v>
      </c>
    </row>
    <row r="39" spans="2:7" x14ac:dyDescent="0.25">
      <c r="B39" s="251">
        <v>44682</v>
      </c>
      <c r="C39" s="254">
        <v>124.059212</v>
      </c>
      <c r="D39" s="29">
        <f t="shared" si="0"/>
        <v>5.014759170703198E-2</v>
      </c>
      <c r="F39" s="255">
        <v>15827.049805000001</v>
      </c>
      <c r="G39" s="29">
        <f t="shared" si="1"/>
        <v>1.3563651238372776E-2</v>
      </c>
    </row>
    <row r="40" spans="2:7" x14ac:dyDescent="0.25">
      <c r="B40" s="251">
        <v>44713</v>
      </c>
      <c r="C40" s="254">
        <v>127.68940000000001</v>
      </c>
      <c r="D40" s="29">
        <f t="shared" si="0"/>
        <v>2.9261736726169163E-2</v>
      </c>
      <c r="F40" s="255">
        <v>14487.639648</v>
      </c>
      <c r="G40" s="29">
        <f t="shared" si="1"/>
        <v>-8.4627910665755368E-2</v>
      </c>
    </row>
    <row r="41" spans="2:7" x14ac:dyDescent="0.25">
      <c r="B41" s="251">
        <v>44743</v>
      </c>
      <c r="C41" s="254">
        <v>118.28383599999999</v>
      </c>
      <c r="D41" s="29">
        <f t="shared" si="0"/>
        <v>-7.3659708636738985E-2</v>
      </c>
      <c r="F41" s="255">
        <v>15327.709961</v>
      </c>
      <c r="G41" s="29">
        <f t="shared" si="1"/>
        <v>5.7985312543024969E-2</v>
      </c>
    </row>
    <row r="42" spans="2:7" x14ac:dyDescent="0.25">
      <c r="B42" s="251">
        <v>44774</v>
      </c>
      <c r="C42" s="254">
        <v>116.16759500000001</v>
      </c>
      <c r="D42" s="29">
        <f t="shared" si="0"/>
        <v>-1.7891210427094961E-2</v>
      </c>
      <c r="F42" s="255">
        <v>14801.240234000001</v>
      </c>
      <c r="G42" s="29">
        <f t="shared" si="1"/>
        <v>-3.4347578884227015E-2</v>
      </c>
    </row>
    <row r="43" spans="2:7" x14ac:dyDescent="0.25">
      <c r="B43" s="251">
        <v>44805</v>
      </c>
      <c r="C43" s="254">
        <v>108.803162</v>
      </c>
      <c r="D43" s="29">
        <f t="shared" si="0"/>
        <v>-6.3394899412353323E-2</v>
      </c>
      <c r="F43" s="255">
        <v>13472.179688</v>
      </c>
      <c r="G43" s="29">
        <f t="shared" si="1"/>
        <v>-8.9793863553880415E-2</v>
      </c>
    </row>
    <row r="44" spans="2:7" x14ac:dyDescent="0.25">
      <c r="B44" s="251">
        <v>44835</v>
      </c>
      <c r="C44" s="254">
        <v>126.64241</v>
      </c>
      <c r="D44" s="29">
        <f t="shared" si="0"/>
        <v>0.16395891141472529</v>
      </c>
      <c r="F44" s="255">
        <v>14747.030273</v>
      </c>
      <c r="G44" s="29">
        <f t="shared" si="1"/>
        <v>9.4628383418574824E-2</v>
      </c>
    </row>
    <row r="45" spans="2:7" x14ac:dyDescent="0.25">
      <c r="B45" s="251">
        <v>44866</v>
      </c>
      <c r="C45" s="254">
        <v>136.35881000000001</v>
      </c>
      <c r="D45" s="29">
        <f t="shared" si="0"/>
        <v>7.67231135288724E-2</v>
      </c>
      <c r="F45" s="255">
        <v>15780.019531</v>
      </c>
      <c r="G45" s="29">
        <f t="shared" si="1"/>
        <v>7.0047273171417901E-2</v>
      </c>
    </row>
    <row r="46" spans="2:7" x14ac:dyDescent="0.25">
      <c r="B46" s="251">
        <v>44896</v>
      </c>
      <c r="C46" s="254">
        <v>130.56178299999999</v>
      </c>
      <c r="D46" s="29">
        <f t="shared" si="0"/>
        <v>-4.2513036011388006E-2</v>
      </c>
      <c r="F46" s="255">
        <v>15184.309569999999</v>
      </c>
      <c r="G46" s="29">
        <f t="shared" si="1"/>
        <v>-3.7750901374343782E-2</v>
      </c>
    </row>
    <row r="47" spans="2:7" x14ac:dyDescent="0.25">
      <c r="B47" s="251">
        <v>44927</v>
      </c>
      <c r="C47" s="254">
        <v>124.85333300000001</v>
      </c>
      <c r="D47" s="29">
        <f t="shared" si="0"/>
        <v>-4.3722212341416822E-2</v>
      </c>
      <c r="F47" s="255">
        <v>16036.389648</v>
      </c>
      <c r="G47" s="29">
        <f t="shared" si="1"/>
        <v>5.6115826279218961E-2</v>
      </c>
    </row>
    <row r="48" spans="2:7" x14ac:dyDescent="0.25">
      <c r="B48" s="251">
        <v>44958</v>
      </c>
      <c r="C48" s="254">
        <v>119.82141900000001</v>
      </c>
      <c r="D48" s="29">
        <f t="shared" si="0"/>
        <v>-4.0302600492050922E-2</v>
      </c>
      <c r="F48" s="255">
        <v>15428.969727</v>
      </c>
      <c r="G48" s="29">
        <f t="shared" si="1"/>
        <v>-3.7877598033779103E-2</v>
      </c>
    </row>
    <row r="49" spans="2:7" x14ac:dyDescent="0.25">
      <c r="B49" s="251">
        <v>44986</v>
      </c>
      <c r="C49" s="254">
        <v>122.97236599999999</v>
      </c>
      <c r="D49" s="29">
        <f t="shared" si="0"/>
        <v>2.6297026243696786E-2</v>
      </c>
      <c r="F49" s="255">
        <v>15374.910156</v>
      </c>
      <c r="G49" s="29">
        <f t="shared" si="1"/>
        <v>-3.5037706312559536E-3</v>
      </c>
    </row>
    <row r="50" spans="2:7" x14ac:dyDescent="0.25">
      <c r="B50" s="251">
        <v>45017</v>
      </c>
      <c r="C50" s="254">
        <v>118.582161</v>
      </c>
      <c r="D50" s="29">
        <f t="shared" si="0"/>
        <v>-3.570074434446513E-2</v>
      </c>
      <c r="F50" s="255">
        <v>15545.879883</v>
      </c>
      <c r="G50" s="29">
        <f t="shared" si="1"/>
        <v>1.1120047224034035E-2</v>
      </c>
    </row>
    <row r="51" spans="2:7" x14ac:dyDescent="0.25">
      <c r="B51" s="251">
        <v>45047</v>
      </c>
      <c r="C51" s="254">
        <v>120.627167</v>
      </c>
      <c r="D51" s="29">
        <f t="shared" si="0"/>
        <v>1.7245477589162839E-2</v>
      </c>
      <c r="F51" s="255">
        <v>14887.139648</v>
      </c>
      <c r="G51" s="29">
        <f t="shared" si="1"/>
        <v>-4.2373943447250983E-2</v>
      </c>
    </row>
    <row r="52" spans="2:7" x14ac:dyDescent="0.25">
      <c r="B52" s="251">
        <v>45078</v>
      </c>
      <c r="C52" s="254">
        <v>127.23550400000001</v>
      </c>
      <c r="D52" s="29">
        <f t="shared" si="0"/>
        <v>5.4783156766004426E-2</v>
      </c>
      <c r="F52" s="255">
        <v>15875.910156</v>
      </c>
      <c r="G52" s="29">
        <f t="shared" si="1"/>
        <v>6.6417762671611369E-2</v>
      </c>
    </row>
    <row r="53" spans="2:7" x14ac:dyDescent="0.25">
      <c r="B53" s="251">
        <v>45108</v>
      </c>
      <c r="C53" s="254">
        <v>137.09600800000001</v>
      </c>
      <c r="D53" s="29">
        <f t="shared" si="0"/>
        <v>7.7498054316663012E-2</v>
      </c>
      <c r="F53" s="255">
        <v>16427.289063</v>
      </c>
      <c r="G53" s="29">
        <f t="shared" si="1"/>
        <v>3.4730538380605358E-2</v>
      </c>
    </row>
    <row r="54" spans="2:7" x14ac:dyDescent="0.25">
      <c r="B54" s="251">
        <v>45139</v>
      </c>
      <c r="C54" s="254">
        <v>139.615814</v>
      </c>
      <c r="D54" s="29">
        <f t="shared" si="0"/>
        <v>1.8379864131419454E-2</v>
      </c>
      <c r="F54" s="255">
        <v>16000.370117</v>
      </c>
      <c r="G54" s="29">
        <f t="shared" si="1"/>
        <v>-2.5988399203467516E-2</v>
      </c>
    </row>
    <row r="55" spans="2:7" x14ac:dyDescent="0.25">
      <c r="B55" s="251">
        <v>45170</v>
      </c>
      <c r="C55" s="254">
        <v>134.94184899999999</v>
      </c>
      <c r="D55" s="29">
        <f t="shared" si="0"/>
        <v>-3.3477332302772056E-2</v>
      </c>
      <c r="F55" s="255">
        <v>15398.209961</v>
      </c>
      <c r="G55" s="29">
        <f t="shared" si="1"/>
        <v>-3.763413918533165E-2</v>
      </c>
    </row>
    <row r="56" spans="2:7" x14ac:dyDescent="0.25">
      <c r="B56" s="251">
        <v>45200</v>
      </c>
      <c r="C56" s="254">
        <v>139.11610400000001</v>
      </c>
      <c r="D56" s="29">
        <f t="shared" si="0"/>
        <v>3.0933732055205665E-2</v>
      </c>
      <c r="F56" s="255">
        <v>14919.200194999999</v>
      </c>
      <c r="G56" s="29">
        <f t="shared" si="1"/>
        <v>-3.1108146155508942E-2</v>
      </c>
    </row>
    <row r="57" spans="2:7" x14ac:dyDescent="0.25">
      <c r="B57" s="251">
        <v>45231</v>
      </c>
      <c r="C57" s="254">
        <v>152.504501</v>
      </c>
      <c r="D57" s="29">
        <f t="shared" si="0"/>
        <v>9.6239016296776114E-2</v>
      </c>
      <c r="F57" s="255">
        <v>16088.839844</v>
      </c>
      <c r="G57" s="29">
        <f t="shared" si="1"/>
        <v>7.8398280987743041E-2</v>
      </c>
    </row>
    <row r="58" spans="2:7" x14ac:dyDescent="0.25">
      <c r="B58" s="251">
        <v>45261</v>
      </c>
      <c r="C58" s="254">
        <v>159.08793600000001</v>
      </c>
      <c r="D58" s="29">
        <f t="shared" si="0"/>
        <v>4.3168791457505851E-2</v>
      </c>
      <c r="F58" s="255">
        <v>16852.890625</v>
      </c>
      <c r="G58" s="29">
        <f t="shared" si="1"/>
        <v>4.7489488888469378E-2</v>
      </c>
    </row>
    <row r="59" spans="2:7" x14ac:dyDescent="0.25">
      <c r="B59" s="251">
        <v>45292</v>
      </c>
      <c r="C59" s="254">
        <v>178.64927700000001</v>
      </c>
      <c r="D59" s="29">
        <f t="shared" si="0"/>
        <v>0.1229592984347978</v>
      </c>
      <c r="F59" s="255">
        <v>16911.130859000001</v>
      </c>
      <c r="G59" s="29">
        <f t="shared" si="1"/>
        <v>3.4558008650222849E-3</v>
      </c>
    </row>
    <row r="60" spans="2:7" x14ac:dyDescent="0.25">
      <c r="B60" s="251">
        <v>45323</v>
      </c>
      <c r="C60" s="254">
        <v>179.98190299999999</v>
      </c>
      <c r="D60" s="29">
        <f t="shared" si="0"/>
        <v>7.4594536422332158E-3</v>
      </c>
      <c r="F60" s="255">
        <v>17607.429688</v>
      </c>
      <c r="G60" s="29">
        <f t="shared" si="1"/>
        <v>4.1173995683998488E-2</v>
      </c>
    </row>
    <row r="61" spans="2:7" x14ac:dyDescent="0.25">
      <c r="B61" s="251">
        <v>45352</v>
      </c>
      <c r="C61" s="254">
        <v>187.44357299999999</v>
      </c>
      <c r="D61" s="29">
        <f t="shared" si="0"/>
        <v>4.1457890352453841E-2</v>
      </c>
      <c r="F61" s="255">
        <v>18312.669922000001</v>
      </c>
      <c r="G61" s="29">
        <f t="shared" si="1"/>
        <v>4.005355957665091E-2</v>
      </c>
    </row>
    <row r="62" spans="2:7" x14ac:dyDescent="0.25">
      <c r="B62" s="251">
        <v>45383</v>
      </c>
      <c r="C62" s="254">
        <v>163.139511</v>
      </c>
      <c r="D62" s="29">
        <f t="shared" si="0"/>
        <v>-0.12966068460506774</v>
      </c>
      <c r="F62" s="255">
        <v>17603.339843999998</v>
      </c>
      <c r="G62" s="29">
        <f t="shared" si="1"/>
        <v>-3.8734388869634206E-2</v>
      </c>
    </row>
    <row r="63" spans="2:7" x14ac:dyDescent="0.25">
      <c r="B63" s="251">
        <v>45413</v>
      </c>
      <c r="C63" s="254">
        <v>163.777557</v>
      </c>
      <c r="D63" s="29">
        <f t="shared" si="0"/>
        <v>3.9110451912536259E-3</v>
      </c>
      <c r="F63" s="255">
        <v>18083.689452999999</v>
      </c>
      <c r="G63" s="29">
        <f t="shared" si="1"/>
        <v>2.7287413255486559E-2</v>
      </c>
    </row>
    <row r="64" spans="2:7" x14ac:dyDescent="0.25">
      <c r="B64" s="251">
        <v>45444</v>
      </c>
      <c r="C64" s="254">
        <v>171.45045500000001</v>
      </c>
      <c r="D64" s="29">
        <f t="shared" si="0"/>
        <v>4.6849508202152501E-2</v>
      </c>
      <c r="F64" s="255">
        <v>18026.5</v>
      </c>
      <c r="G64" s="29">
        <f t="shared" si="1"/>
        <v>-3.162488116633333E-3</v>
      </c>
    </row>
    <row r="65" spans="1:13" x14ac:dyDescent="0.25">
      <c r="B65" s="251">
        <v>45474</v>
      </c>
      <c r="C65" s="254">
        <v>190.474075</v>
      </c>
      <c r="D65" s="29">
        <f t="shared" si="0"/>
        <v>0.11095695254935301</v>
      </c>
      <c r="F65" s="255">
        <v>18710.009765999999</v>
      </c>
      <c r="G65" s="29">
        <f t="shared" si="1"/>
        <v>3.7916942612265192E-2</v>
      </c>
    </row>
    <row r="66" spans="1:13" x14ac:dyDescent="0.25">
      <c r="B66" s="251">
        <v>45505</v>
      </c>
      <c r="C66" s="254">
        <v>200.37745699999999</v>
      </c>
      <c r="D66" s="29">
        <f t="shared" si="0"/>
        <v>5.1993332950954096E-2</v>
      </c>
      <c r="F66" s="255">
        <v>18802.240234000001</v>
      </c>
      <c r="G66" s="29">
        <f t="shared" si="1"/>
        <v>4.9294719325909675E-3</v>
      </c>
    </row>
    <row r="69" spans="1:13" ht="18.75" x14ac:dyDescent="0.25">
      <c r="A69" s="5" t="s">
        <v>182</v>
      </c>
      <c r="B69" s="261" t="s">
        <v>406</v>
      </c>
      <c r="C69" s="262"/>
      <c r="D69" s="262"/>
      <c r="E69" s="263"/>
      <c r="F69" s="263"/>
      <c r="G69" s="262"/>
      <c r="H69" s="263"/>
      <c r="I69" s="263"/>
      <c r="J69" s="263"/>
    </row>
    <row r="71" spans="1:13" x14ac:dyDescent="0.2">
      <c r="B71" s="338" t="s">
        <v>377</v>
      </c>
      <c r="C71" s="338"/>
      <c r="D71" s="338"/>
      <c r="F71" s="338" t="s">
        <v>379</v>
      </c>
      <c r="G71" s="338"/>
    </row>
    <row r="73" spans="1:13" x14ac:dyDescent="0.25">
      <c r="B73" s="252" t="s">
        <v>375</v>
      </c>
      <c r="C73" s="253" t="s">
        <v>376</v>
      </c>
      <c r="D73" s="253" t="s">
        <v>378</v>
      </c>
      <c r="F73" s="253" t="s">
        <v>376</v>
      </c>
      <c r="G73" s="253" t="s">
        <v>378</v>
      </c>
      <c r="I73" s="259" t="s">
        <v>405</v>
      </c>
      <c r="J73" s="260">
        <f>M90</f>
        <v>0.66762773806128461</v>
      </c>
      <c r="L73" s="3" t="s">
        <v>380</v>
      </c>
    </row>
    <row r="74" spans="1:13" ht="15.75" thickBot="1" x14ac:dyDescent="0.3">
      <c r="B74" s="251">
        <v>43709</v>
      </c>
      <c r="C74" s="254">
        <v>133.03381300000001</v>
      </c>
      <c r="F74" s="255">
        <v>13004.740234000001</v>
      </c>
    </row>
    <row r="75" spans="1:13" x14ac:dyDescent="0.25">
      <c r="B75" s="251">
        <v>43739</v>
      </c>
      <c r="C75" s="254">
        <v>137.18667600000001</v>
      </c>
      <c r="D75" s="29">
        <f>C75/C74-1</f>
        <v>3.1216597542761626E-2</v>
      </c>
      <c r="F75" s="255">
        <v>13171.809569999999</v>
      </c>
      <c r="G75" s="29">
        <f>F75/F74-1</f>
        <v>1.2846803011351771E-2</v>
      </c>
      <c r="L75" s="256" t="s">
        <v>381</v>
      </c>
      <c r="M75" s="256"/>
    </row>
    <row r="76" spans="1:13" x14ac:dyDescent="0.25">
      <c r="B76" s="251">
        <v>43770</v>
      </c>
      <c r="C76" s="254">
        <v>144.85119599999999</v>
      </c>
      <c r="D76" s="29">
        <f t="shared" ref="D76:D133" si="2">C76/C75-1</f>
        <v>5.5869274068569119E-2</v>
      </c>
      <c r="F76" s="255">
        <v>13545.209961</v>
      </c>
      <c r="G76" s="29">
        <f t="shared" ref="G76:G133" si="3">F76/F75-1</f>
        <v>2.8348450455164098E-2</v>
      </c>
      <c r="L76" s="84" t="s">
        <v>382</v>
      </c>
      <c r="M76" s="84">
        <v>0.53669747126261202</v>
      </c>
    </row>
    <row r="77" spans="1:13" x14ac:dyDescent="0.25">
      <c r="B77" s="251">
        <v>43800</v>
      </c>
      <c r="C77" s="254">
        <v>151.41206399999999</v>
      </c>
      <c r="D77" s="29">
        <f t="shared" si="2"/>
        <v>4.5293847625531569E-2</v>
      </c>
      <c r="F77" s="255">
        <v>13913.030273</v>
      </c>
      <c r="G77" s="29">
        <f t="shared" si="3"/>
        <v>2.7155010004204172E-2</v>
      </c>
      <c r="L77" s="84" t="s">
        <v>383</v>
      </c>
      <c r="M77" s="84">
        <v>0.28804417565968227</v>
      </c>
    </row>
    <row r="78" spans="1:13" x14ac:dyDescent="0.25">
      <c r="B78" s="251">
        <v>43831</v>
      </c>
      <c r="C78" s="254">
        <v>163.44250500000001</v>
      </c>
      <c r="D78" s="29">
        <f t="shared" si="2"/>
        <v>7.9454969981784362E-2</v>
      </c>
      <c r="F78" s="255">
        <v>13614.099609000001</v>
      </c>
      <c r="G78" s="29">
        <f t="shared" si="3"/>
        <v>-2.1485661867645889E-2</v>
      </c>
      <c r="L78" s="84" t="s">
        <v>384</v>
      </c>
      <c r="M78" s="84">
        <v>0.27555372260108019</v>
      </c>
    </row>
    <row r="79" spans="1:13" x14ac:dyDescent="0.25">
      <c r="B79" s="251">
        <v>43862</v>
      </c>
      <c r="C79" s="254">
        <v>155.55024700000001</v>
      </c>
      <c r="D79" s="29">
        <f t="shared" si="2"/>
        <v>-4.8287671557652678E-2</v>
      </c>
      <c r="F79" s="255">
        <v>12380.969727</v>
      </c>
      <c r="G79" s="29">
        <f t="shared" si="3"/>
        <v>-9.0577409995208469E-2</v>
      </c>
      <c r="L79" s="84" t="s">
        <v>385</v>
      </c>
      <c r="M79" s="84">
        <v>5.5017240793443396E-2</v>
      </c>
    </row>
    <row r="80" spans="1:13" ht="15.75" thickBot="1" x14ac:dyDescent="0.3">
      <c r="B80" s="251">
        <v>43891</v>
      </c>
      <c r="C80" s="254">
        <v>151.835297</v>
      </c>
      <c r="D80" s="29">
        <f t="shared" si="2"/>
        <v>-2.3882636457658646E-2</v>
      </c>
      <c r="F80" s="255">
        <v>10301.870117</v>
      </c>
      <c r="G80" s="29">
        <f t="shared" si="3"/>
        <v>-0.16792704092200217</v>
      </c>
      <c r="L80" s="257" t="s">
        <v>386</v>
      </c>
      <c r="M80" s="257">
        <v>59</v>
      </c>
    </row>
    <row r="81" spans="2:20" x14ac:dyDescent="0.25">
      <c r="B81" s="251">
        <v>43922</v>
      </c>
      <c r="C81" s="254">
        <v>172.534424</v>
      </c>
      <c r="D81" s="29">
        <f t="shared" si="2"/>
        <v>0.13632618639393179</v>
      </c>
      <c r="F81" s="255">
        <v>11372.339844</v>
      </c>
      <c r="G81" s="29">
        <f t="shared" si="3"/>
        <v>0.10391023327245463</v>
      </c>
    </row>
    <row r="82" spans="2:20" ht="15.75" thickBot="1" x14ac:dyDescent="0.3">
      <c r="B82" s="251">
        <v>43952</v>
      </c>
      <c r="C82" s="254">
        <v>176.423935</v>
      </c>
      <c r="D82" s="29">
        <f t="shared" si="2"/>
        <v>2.2543391109011379E-2</v>
      </c>
      <c r="F82" s="255">
        <v>11802.950194999999</v>
      </c>
      <c r="G82" s="29">
        <f t="shared" si="3"/>
        <v>3.7864710069070551E-2</v>
      </c>
      <c r="L82" s="3" t="s">
        <v>387</v>
      </c>
    </row>
    <row r="83" spans="2:20" x14ac:dyDescent="0.25">
      <c r="B83" s="251">
        <v>43983</v>
      </c>
      <c r="C83" s="254">
        <v>196.47489899999999</v>
      </c>
      <c r="D83" s="29">
        <f t="shared" si="2"/>
        <v>0.11365217536951544</v>
      </c>
      <c r="F83" s="255">
        <v>11893.780273</v>
      </c>
      <c r="G83" s="29">
        <f t="shared" si="3"/>
        <v>7.6955402250598048E-3</v>
      </c>
      <c r="L83" s="258"/>
      <c r="M83" s="258" t="s">
        <v>392</v>
      </c>
      <c r="N83" s="258" t="s">
        <v>393</v>
      </c>
      <c r="O83" s="258" t="s">
        <v>394</v>
      </c>
      <c r="P83" s="258" t="s">
        <v>395</v>
      </c>
      <c r="Q83" s="258" t="s">
        <v>396</v>
      </c>
    </row>
    <row r="84" spans="2:20" x14ac:dyDescent="0.25">
      <c r="B84" s="251">
        <v>44013</v>
      </c>
      <c r="C84" s="254">
        <v>197.92306500000001</v>
      </c>
      <c r="D84" s="29">
        <f t="shared" si="2"/>
        <v>7.3707430688132458E-3</v>
      </c>
      <c r="F84" s="255">
        <v>12465.049805000001</v>
      </c>
      <c r="G84" s="29">
        <f t="shared" si="3"/>
        <v>4.803094717470402E-2</v>
      </c>
      <c r="L84" s="84" t="s">
        <v>388</v>
      </c>
      <c r="M84" s="84">
        <v>1</v>
      </c>
      <c r="N84" s="84">
        <v>6.9803712084296671E-2</v>
      </c>
      <c r="O84" s="84">
        <v>6.9803712084296671E-2</v>
      </c>
      <c r="P84" s="84">
        <v>23.061147126389365</v>
      </c>
      <c r="Q84" s="84">
        <v>1.1766217624592196E-5</v>
      </c>
    </row>
    <row r="85" spans="2:20" x14ac:dyDescent="0.25">
      <c r="B85" s="251">
        <v>44044</v>
      </c>
      <c r="C85" s="254">
        <v>217.73371900000001</v>
      </c>
      <c r="D85" s="29">
        <f t="shared" si="2"/>
        <v>0.10009270016104499</v>
      </c>
      <c r="F85" s="255">
        <v>13045.599609000001</v>
      </c>
      <c r="G85" s="29">
        <f t="shared" si="3"/>
        <v>4.657420652800992E-2</v>
      </c>
      <c r="L85" s="84" t="s">
        <v>389</v>
      </c>
      <c r="M85" s="84">
        <v>57</v>
      </c>
      <c r="N85" s="84">
        <v>0.17253311671785271</v>
      </c>
      <c r="O85" s="84">
        <v>3.0268967845237318E-3</v>
      </c>
      <c r="P85" s="84"/>
      <c r="Q85" s="84"/>
    </row>
    <row r="86" spans="2:20" ht="15.75" thickBot="1" x14ac:dyDescent="0.3">
      <c r="B86" s="251">
        <v>44075</v>
      </c>
      <c r="C86" s="254">
        <v>203.54998800000001</v>
      </c>
      <c r="D86" s="29">
        <f t="shared" si="2"/>
        <v>-6.5142556077866787E-2</v>
      </c>
      <c r="F86" s="255">
        <v>12701.889648</v>
      </c>
      <c r="G86" s="29">
        <f t="shared" si="3"/>
        <v>-2.6346812051695867E-2</v>
      </c>
      <c r="L86" s="257" t="s">
        <v>390</v>
      </c>
      <c r="M86" s="257">
        <v>58</v>
      </c>
      <c r="N86" s="257">
        <v>0.24233682880214938</v>
      </c>
      <c r="O86" s="257"/>
      <c r="P86" s="257"/>
      <c r="Q86" s="257"/>
    </row>
    <row r="87" spans="2:20" ht="15.75" thickBot="1" x14ac:dyDescent="0.3">
      <c r="B87" s="251">
        <v>44105</v>
      </c>
      <c r="C87" s="254">
        <v>195.94338999999999</v>
      </c>
      <c r="D87" s="29">
        <f t="shared" si="2"/>
        <v>-3.7369680414817918E-2</v>
      </c>
      <c r="F87" s="255">
        <v>12429.330078000001</v>
      </c>
      <c r="G87" s="29">
        <f t="shared" si="3"/>
        <v>-2.1458190675032074E-2</v>
      </c>
    </row>
    <row r="88" spans="2:20" x14ac:dyDescent="0.25">
      <c r="B88" s="251">
        <v>44136</v>
      </c>
      <c r="C88" s="254">
        <v>207.16944899999999</v>
      </c>
      <c r="D88" s="29">
        <f t="shared" si="2"/>
        <v>5.7292358777706109E-2</v>
      </c>
      <c r="F88" s="255">
        <v>14006.459961</v>
      </c>
      <c r="G88" s="29">
        <f t="shared" si="3"/>
        <v>0.12688776250230327</v>
      </c>
      <c r="L88" s="258"/>
      <c r="M88" s="258" t="s">
        <v>397</v>
      </c>
      <c r="N88" s="258" t="s">
        <v>385</v>
      </c>
      <c r="O88" s="258" t="s">
        <v>398</v>
      </c>
      <c r="P88" s="258" t="s">
        <v>399</v>
      </c>
      <c r="Q88" s="258" t="s">
        <v>400</v>
      </c>
      <c r="R88" s="258" t="s">
        <v>401</v>
      </c>
      <c r="S88" s="258" t="s">
        <v>402</v>
      </c>
      <c r="T88" s="258" t="s">
        <v>403</v>
      </c>
    </row>
    <row r="89" spans="2:20" x14ac:dyDescent="0.25">
      <c r="B89" s="251">
        <v>44166</v>
      </c>
      <c r="C89" s="254">
        <v>215.81384299999999</v>
      </c>
      <c r="D89" s="29">
        <f t="shared" si="2"/>
        <v>4.1726200661951873E-2</v>
      </c>
      <c r="F89" s="255">
        <v>14524.799805000001</v>
      </c>
      <c r="G89" s="29">
        <f t="shared" si="3"/>
        <v>3.7007198495785598E-2</v>
      </c>
      <c r="L89" s="84" t="s">
        <v>391</v>
      </c>
      <c r="M89" s="84">
        <v>1.6120054623171755E-2</v>
      </c>
      <c r="N89" s="84">
        <v>7.2404941020737957E-3</v>
      </c>
      <c r="O89" s="84">
        <v>2.226374940151489</v>
      </c>
      <c r="P89" s="84">
        <v>2.9957334491474905E-2</v>
      </c>
      <c r="Q89" s="84">
        <v>1.6212152755687281E-3</v>
      </c>
      <c r="R89" s="84">
        <v>3.0618893970774781E-2</v>
      </c>
      <c r="S89" s="84">
        <v>1.6212152755687281E-3</v>
      </c>
      <c r="T89" s="84">
        <v>3.0618893970774781E-2</v>
      </c>
    </row>
    <row r="90" spans="2:20" ht="15.75" thickBot="1" x14ac:dyDescent="0.3">
      <c r="B90" s="251">
        <v>44197</v>
      </c>
      <c r="C90" s="254">
        <v>225.07046500000001</v>
      </c>
      <c r="D90" s="29">
        <f t="shared" si="2"/>
        <v>4.2891697174402443E-2</v>
      </c>
      <c r="F90" s="255">
        <v>14397.200194999999</v>
      </c>
      <c r="G90" s="29">
        <f t="shared" si="3"/>
        <v>-8.7849479313357737E-3</v>
      </c>
      <c r="L90" s="257" t="s">
        <v>404</v>
      </c>
      <c r="M90" s="257">
        <v>0.66762773806128461</v>
      </c>
      <c r="N90" s="257">
        <v>0.13902532494733305</v>
      </c>
      <c r="O90" s="257">
        <v>4.8022023204347981</v>
      </c>
      <c r="P90" s="257">
        <v>1.1766217624592264E-5</v>
      </c>
      <c r="Q90" s="257">
        <v>0.38923432688754189</v>
      </c>
      <c r="R90" s="257">
        <v>0.94602114923502734</v>
      </c>
      <c r="S90" s="257">
        <v>0.38923432688754189</v>
      </c>
      <c r="T90" s="257">
        <v>0.94602114923502734</v>
      </c>
    </row>
    <row r="91" spans="2:20" x14ac:dyDescent="0.25">
      <c r="B91" s="251">
        <v>44228</v>
      </c>
      <c r="C91" s="254">
        <v>225.477982</v>
      </c>
      <c r="D91" s="29">
        <f t="shared" si="2"/>
        <v>1.8106196208373948E-3</v>
      </c>
      <c r="F91" s="255">
        <v>15010.469727</v>
      </c>
      <c r="G91" s="29">
        <f t="shared" si="3"/>
        <v>4.259644400950835E-2</v>
      </c>
      <c r="L91"/>
      <c r="M91"/>
      <c r="N91"/>
      <c r="O91"/>
      <c r="P91"/>
      <c r="Q91"/>
      <c r="R91"/>
      <c r="S91"/>
      <c r="T91"/>
    </row>
    <row r="92" spans="2:20" x14ac:dyDescent="0.25">
      <c r="B92" s="251">
        <v>44256</v>
      </c>
      <c r="C92" s="254">
        <v>229.29422</v>
      </c>
      <c r="D92" s="29">
        <f t="shared" si="2"/>
        <v>1.6925102691401683E-2</v>
      </c>
      <c r="F92" s="255">
        <v>15601.740234000001</v>
      </c>
      <c r="G92" s="29">
        <f t="shared" si="3"/>
        <v>3.9390539920043599E-2</v>
      </c>
      <c r="L92"/>
      <c r="M92"/>
      <c r="N92"/>
      <c r="O92"/>
      <c r="P92"/>
      <c r="Q92"/>
      <c r="R92"/>
      <c r="S92"/>
      <c r="T92"/>
    </row>
    <row r="93" spans="2:20" x14ac:dyDescent="0.25">
      <c r="B93" s="251">
        <v>44287</v>
      </c>
      <c r="C93" s="254">
        <v>245.25344799999999</v>
      </c>
      <c r="D93" s="29">
        <f t="shared" si="2"/>
        <v>6.9601527679153952E-2</v>
      </c>
      <c r="F93" s="255">
        <v>16219.330078000001</v>
      </c>
      <c r="G93" s="29">
        <f t="shared" si="3"/>
        <v>3.958467675638655E-2</v>
      </c>
      <c r="L93"/>
      <c r="M93"/>
      <c r="N93"/>
      <c r="O93"/>
      <c r="P93"/>
      <c r="Q93"/>
      <c r="R93"/>
      <c r="S93"/>
      <c r="T93"/>
    </row>
    <row r="94" spans="2:20" x14ac:dyDescent="0.25">
      <c r="B94" s="251">
        <v>44317</v>
      </c>
      <c r="C94" s="254">
        <v>242.82212799999999</v>
      </c>
      <c r="D94" s="29">
        <f t="shared" si="2"/>
        <v>-9.9134997686148862E-3</v>
      </c>
      <c r="F94" s="255">
        <v>16555.660156000002</v>
      </c>
      <c r="G94" s="29">
        <f t="shared" si="3"/>
        <v>2.0736372981039475E-2</v>
      </c>
    </row>
    <row r="95" spans="2:20" x14ac:dyDescent="0.25">
      <c r="B95" s="251">
        <v>44348</v>
      </c>
      <c r="C95" s="254">
        <v>264.067657</v>
      </c>
      <c r="D95" s="29">
        <f t="shared" si="2"/>
        <v>8.7494204811515486E-2</v>
      </c>
      <c r="F95" s="255">
        <v>16555.349609000001</v>
      </c>
      <c r="G95" s="29">
        <f t="shared" si="3"/>
        <v>-1.8757753968978719E-5</v>
      </c>
    </row>
    <row r="96" spans="2:20" x14ac:dyDescent="0.25">
      <c r="B96" s="251">
        <v>44378</v>
      </c>
      <c r="C96" s="254">
        <v>277.72430400000002</v>
      </c>
      <c r="D96" s="29">
        <f t="shared" si="2"/>
        <v>5.1716469768200435E-2</v>
      </c>
      <c r="F96" s="255">
        <v>16602.289063</v>
      </c>
      <c r="G96" s="29">
        <f t="shared" si="3"/>
        <v>2.8353043039623937E-3</v>
      </c>
    </row>
    <row r="97" spans="2:7" x14ac:dyDescent="0.25">
      <c r="B97" s="251">
        <v>44409</v>
      </c>
      <c r="C97" s="254">
        <v>294.26635700000003</v>
      </c>
      <c r="D97" s="29">
        <f t="shared" si="2"/>
        <v>5.9562856983521373E-2</v>
      </c>
      <c r="F97" s="255">
        <v>16806.439452999999</v>
      </c>
      <c r="G97" s="29">
        <f t="shared" si="3"/>
        <v>1.2296520631903007E-2</v>
      </c>
    </row>
    <row r="98" spans="2:7" x14ac:dyDescent="0.25">
      <c r="B98" s="251">
        <v>44440</v>
      </c>
      <c r="C98" s="254">
        <v>275.33581500000003</v>
      </c>
      <c r="D98" s="29">
        <f t="shared" si="2"/>
        <v>-6.4331315998858773E-2</v>
      </c>
      <c r="F98" s="255">
        <v>16144.919921999999</v>
      </c>
      <c r="G98" s="29">
        <f t="shared" si="3"/>
        <v>-3.936107542885392E-2</v>
      </c>
    </row>
    <row r="99" spans="2:7" x14ac:dyDescent="0.25">
      <c r="B99" s="251">
        <v>44470</v>
      </c>
      <c r="C99" s="254">
        <v>323.87512199999998</v>
      </c>
      <c r="D99" s="29">
        <f t="shared" si="2"/>
        <v>0.1762912935972385</v>
      </c>
      <c r="F99" s="255">
        <v>17016.410156000002</v>
      </c>
      <c r="G99" s="29">
        <f t="shared" si="3"/>
        <v>5.3979223075145688E-2</v>
      </c>
    </row>
    <row r="100" spans="2:7" x14ac:dyDescent="0.25">
      <c r="B100" s="251">
        <v>44501</v>
      </c>
      <c r="C100" s="254">
        <v>322.86910999999998</v>
      </c>
      <c r="D100" s="29">
        <f t="shared" si="2"/>
        <v>-3.1061725080570035E-3</v>
      </c>
      <c r="F100" s="255">
        <v>16318.969727</v>
      </c>
      <c r="G100" s="29">
        <f t="shared" si="3"/>
        <v>-4.0986343335999376E-2</v>
      </c>
    </row>
    <row r="101" spans="2:7" x14ac:dyDescent="0.25">
      <c r="B101" s="251">
        <v>44531</v>
      </c>
      <c r="C101" s="254">
        <v>329.06625400000001</v>
      </c>
      <c r="D101" s="29">
        <f t="shared" si="2"/>
        <v>1.9193982354025918E-2</v>
      </c>
      <c r="F101" s="255">
        <v>17164.130859000001</v>
      </c>
      <c r="G101" s="29">
        <f t="shared" si="3"/>
        <v>5.179010355057323E-2</v>
      </c>
    </row>
    <row r="102" spans="2:7" x14ac:dyDescent="0.25">
      <c r="B102" s="251">
        <v>44562</v>
      </c>
      <c r="C102" s="254">
        <v>304.27279700000003</v>
      </c>
      <c r="D102" s="29">
        <f t="shared" si="2"/>
        <v>-7.5344878724635134E-2</v>
      </c>
      <c r="F102" s="255">
        <v>16659.769531000002</v>
      </c>
      <c r="G102" s="29">
        <f t="shared" si="3"/>
        <v>-2.9384612139305433E-2</v>
      </c>
    </row>
    <row r="103" spans="2:7" x14ac:dyDescent="0.25">
      <c r="B103" s="251">
        <v>44593</v>
      </c>
      <c r="C103" s="254">
        <v>292.34567299999998</v>
      </c>
      <c r="D103" s="29">
        <f t="shared" si="2"/>
        <v>-3.919878516119879E-2</v>
      </c>
      <c r="F103" s="255">
        <v>16313.889648</v>
      </c>
      <c r="G103" s="29">
        <f t="shared" si="3"/>
        <v>-2.0761384625183399E-2</v>
      </c>
    </row>
    <row r="104" spans="2:7" x14ac:dyDescent="0.25">
      <c r="B104" s="251">
        <v>44621</v>
      </c>
      <c r="C104" s="254">
        <v>302.284088</v>
      </c>
      <c r="D104" s="29">
        <f t="shared" si="2"/>
        <v>3.3995423629889165E-2</v>
      </c>
      <c r="F104" s="255">
        <v>16670.910156000002</v>
      </c>
      <c r="G104" s="29">
        <f t="shared" si="3"/>
        <v>2.1884450348955919E-2</v>
      </c>
    </row>
    <row r="105" spans="2:7" x14ac:dyDescent="0.25">
      <c r="B105" s="251">
        <v>44652</v>
      </c>
      <c r="C105" s="254">
        <v>272.09585600000003</v>
      </c>
      <c r="D105" s="29">
        <f t="shared" si="2"/>
        <v>-9.9867089266041598E-2</v>
      </c>
      <c r="F105" s="255">
        <v>15615.25</v>
      </c>
      <c r="G105" s="29">
        <f t="shared" si="3"/>
        <v>-6.3323486607602009E-2</v>
      </c>
    </row>
    <row r="106" spans="2:7" x14ac:dyDescent="0.25">
      <c r="B106" s="251">
        <v>44682</v>
      </c>
      <c r="C106" s="254">
        <v>266.55630500000001</v>
      </c>
      <c r="D106" s="29">
        <f t="shared" si="2"/>
        <v>-2.0358821635269697E-2</v>
      </c>
      <c r="F106" s="255">
        <v>15827.049805000001</v>
      </c>
      <c r="G106" s="29">
        <f t="shared" si="3"/>
        <v>1.3563651238372776E-2</v>
      </c>
    </row>
    <row r="107" spans="2:7" x14ac:dyDescent="0.25">
      <c r="B107" s="251">
        <v>44713</v>
      </c>
      <c r="C107" s="254">
        <v>252.396759</v>
      </c>
      <c r="D107" s="29">
        <f t="shared" si="2"/>
        <v>-5.3120281660567037E-2</v>
      </c>
      <c r="F107" s="255">
        <v>14487.639648</v>
      </c>
      <c r="G107" s="29">
        <f t="shared" si="3"/>
        <v>-8.4627910665755368E-2</v>
      </c>
    </row>
    <row r="108" spans="2:7" x14ac:dyDescent="0.25">
      <c r="B108" s="251">
        <v>44743</v>
      </c>
      <c r="C108" s="254">
        <v>275.89407299999999</v>
      </c>
      <c r="D108" s="29">
        <f t="shared" si="2"/>
        <v>9.3096734257193781E-2</v>
      </c>
      <c r="F108" s="255">
        <v>15327.709961</v>
      </c>
      <c r="G108" s="29">
        <f t="shared" si="3"/>
        <v>5.7985312543024969E-2</v>
      </c>
    </row>
    <row r="109" spans="2:7" x14ac:dyDescent="0.25">
      <c r="B109" s="251">
        <v>44774</v>
      </c>
      <c r="C109" s="254">
        <v>256.95669600000002</v>
      </c>
      <c r="D109" s="29">
        <f t="shared" si="2"/>
        <v>-6.8640028377847662E-2</v>
      </c>
      <c r="F109" s="255">
        <v>14801.240234000001</v>
      </c>
      <c r="G109" s="29">
        <f t="shared" si="3"/>
        <v>-3.4347578884227015E-2</v>
      </c>
    </row>
    <row r="110" spans="2:7" x14ac:dyDescent="0.25">
      <c r="B110" s="251">
        <v>44805</v>
      </c>
      <c r="C110" s="254">
        <v>229.36566199999999</v>
      </c>
      <c r="D110" s="29">
        <f t="shared" si="2"/>
        <v>-0.10737620163048811</v>
      </c>
      <c r="F110" s="255">
        <v>13472.179688</v>
      </c>
      <c r="G110" s="29">
        <f t="shared" si="3"/>
        <v>-8.9793863553880415E-2</v>
      </c>
    </row>
    <row r="111" spans="2:7" x14ac:dyDescent="0.25">
      <c r="B111" s="251">
        <v>44835</v>
      </c>
      <c r="C111" s="254">
        <v>228.607361</v>
      </c>
      <c r="D111" s="29">
        <f t="shared" si="2"/>
        <v>-3.3060790067171997E-3</v>
      </c>
      <c r="F111" s="255">
        <v>14747.030273</v>
      </c>
      <c r="G111" s="29">
        <f t="shared" si="3"/>
        <v>9.4628383418574824E-2</v>
      </c>
    </row>
    <row r="112" spans="2:7" x14ac:dyDescent="0.25">
      <c r="B112" s="251">
        <v>44866</v>
      </c>
      <c r="C112" s="254">
        <v>251.26817299999999</v>
      </c>
      <c r="D112" s="29">
        <f t="shared" si="2"/>
        <v>9.9125469542513889E-2</v>
      </c>
      <c r="F112" s="255">
        <v>15780.019531</v>
      </c>
      <c r="G112" s="29">
        <f t="shared" si="3"/>
        <v>7.0047273171417901E-2</v>
      </c>
    </row>
    <row r="113" spans="2:7" x14ac:dyDescent="0.25">
      <c r="B113" s="251">
        <v>44896</v>
      </c>
      <c r="C113" s="254">
        <v>236.846237</v>
      </c>
      <c r="D113" s="29">
        <f t="shared" si="2"/>
        <v>-5.7396588783251823E-2</v>
      </c>
      <c r="F113" s="255">
        <v>15184.309569999999</v>
      </c>
      <c r="G113" s="29">
        <f t="shared" si="3"/>
        <v>-3.7750901374343782E-2</v>
      </c>
    </row>
    <row r="114" spans="2:7" x14ac:dyDescent="0.25">
      <c r="B114" s="251">
        <v>44927</v>
      </c>
      <c r="C114" s="254">
        <v>244.737167</v>
      </c>
      <c r="D114" s="29">
        <f t="shared" si="2"/>
        <v>3.331667878683664E-2</v>
      </c>
      <c r="F114" s="255">
        <v>16036.389648</v>
      </c>
      <c r="G114" s="29">
        <f t="shared" si="3"/>
        <v>5.6115826279218961E-2</v>
      </c>
    </row>
    <row r="115" spans="2:7" x14ac:dyDescent="0.25">
      <c r="B115" s="251">
        <v>44958</v>
      </c>
      <c r="C115" s="254">
        <v>246.32719399999999</v>
      </c>
      <c r="D115" s="29">
        <f t="shared" si="2"/>
        <v>6.4968758913515057E-3</v>
      </c>
      <c r="F115" s="255">
        <v>15428.969727</v>
      </c>
      <c r="G115" s="29">
        <f t="shared" si="3"/>
        <v>-3.7877598033779103E-2</v>
      </c>
    </row>
    <row r="116" spans="2:7" x14ac:dyDescent="0.25">
      <c r="B116" s="251">
        <v>44986</v>
      </c>
      <c r="C116" s="254">
        <v>285.43820199999999</v>
      </c>
      <c r="D116" s="29">
        <f t="shared" si="2"/>
        <v>0.15877665541060804</v>
      </c>
      <c r="F116" s="255">
        <v>15374.910156</v>
      </c>
      <c r="G116" s="29">
        <f t="shared" si="3"/>
        <v>-3.5037706312559536E-3</v>
      </c>
    </row>
    <row r="117" spans="2:7" x14ac:dyDescent="0.25">
      <c r="B117" s="251">
        <v>45017</v>
      </c>
      <c r="C117" s="254">
        <v>304.210083</v>
      </c>
      <c r="D117" s="29">
        <f t="shared" si="2"/>
        <v>6.576513188658617E-2</v>
      </c>
      <c r="F117" s="255">
        <v>15545.879883</v>
      </c>
      <c r="G117" s="29">
        <f t="shared" si="3"/>
        <v>1.1120047224034035E-2</v>
      </c>
    </row>
    <row r="118" spans="2:7" x14ac:dyDescent="0.25">
      <c r="B118" s="251">
        <v>45047</v>
      </c>
      <c r="C118" s="254">
        <v>325.13034099999999</v>
      </c>
      <c r="D118" s="29">
        <f t="shared" si="2"/>
        <v>6.8769114401773468E-2</v>
      </c>
      <c r="F118" s="255">
        <v>14887.139648</v>
      </c>
      <c r="G118" s="29">
        <f t="shared" si="3"/>
        <v>-4.2373943447250983E-2</v>
      </c>
    </row>
    <row r="119" spans="2:7" x14ac:dyDescent="0.25">
      <c r="B119" s="251">
        <v>45078</v>
      </c>
      <c r="C119" s="254">
        <v>337.89679000000001</v>
      </c>
      <c r="D119" s="29">
        <f t="shared" si="2"/>
        <v>3.9265634086115719E-2</v>
      </c>
      <c r="F119" s="255">
        <v>15875.910156</v>
      </c>
      <c r="G119" s="29">
        <f t="shared" si="3"/>
        <v>6.6417762671611369E-2</v>
      </c>
    </row>
    <row r="120" spans="2:7" x14ac:dyDescent="0.25">
      <c r="B120" s="251">
        <v>45108</v>
      </c>
      <c r="C120" s="254">
        <v>333.31262199999998</v>
      </c>
      <c r="D120" s="29">
        <f t="shared" si="2"/>
        <v>-1.3566769900359321E-2</v>
      </c>
      <c r="F120" s="255">
        <v>16427.289063</v>
      </c>
      <c r="G120" s="29">
        <f t="shared" si="3"/>
        <v>3.4730538380605358E-2</v>
      </c>
    </row>
    <row r="121" spans="2:7" x14ac:dyDescent="0.25">
      <c r="B121" s="251">
        <v>45139</v>
      </c>
      <c r="C121" s="254">
        <v>325.21594199999998</v>
      </c>
      <c r="D121" s="29">
        <f t="shared" si="2"/>
        <v>-2.4291549331126094E-2</v>
      </c>
      <c r="F121" s="255">
        <v>16000.370117</v>
      </c>
      <c r="G121" s="29">
        <f t="shared" si="3"/>
        <v>-2.5988399203467516E-2</v>
      </c>
    </row>
    <row r="122" spans="2:7" x14ac:dyDescent="0.25">
      <c r="B122" s="251">
        <v>45170</v>
      </c>
      <c r="C122" s="254">
        <v>313.96249399999999</v>
      </c>
      <c r="D122" s="29">
        <f t="shared" si="2"/>
        <v>-3.4603002333753907E-2</v>
      </c>
      <c r="F122" s="255">
        <v>15398.209961</v>
      </c>
      <c r="G122" s="29">
        <f t="shared" si="3"/>
        <v>-3.763413918533165E-2</v>
      </c>
    </row>
    <row r="123" spans="2:7" x14ac:dyDescent="0.25">
      <c r="B123" s="251">
        <v>45200</v>
      </c>
      <c r="C123" s="254">
        <v>336.19589200000001</v>
      </c>
      <c r="D123" s="29">
        <f t="shared" si="2"/>
        <v>7.0815458613346483E-2</v>
      </c>
      <c r="F123" s="255">
        <v>14919.200194999999</v>
      </c>
      <c r="G123" s="29">
        <f t="shared" si="3"/>
        <v>-3.1108146155508942E-2</v>
      </c>
    </row>
    <row r="124" spans="2:7" x14ac:dyDescent="0.25">
      <c r="B124" s="251">
        <v>45231</v>
      </c>
      <c r="C124" s="254">
        <v>376.76492300000001</v>
      </c>
      <c r="D124" s="29">
        <f t="shared" si="2"/>
        <v>0.1206708111710062</v>
      </c>
      <c r="F124" s="255">
        <v>16088.839844</v>
      </c>
      <c r="G124" s="29">
        <f t="shared" si="3"/>
        <v>7.8398280987743041E-2</v>
      </c>
    </row>
    <row r="125" spans="2:7" x14ac:dyDescent="0.25">
      <c r="B125" s="251">
        <v>45261</v>
      </c>
      <c r="C125" s="254">
        <v>374.670074</v>
      </c>
      <c r="D125" s="29">
        <f t="shared" si="2"/>
        <v>-5.5600956249316491E-3</v>
      </c>
      <c r="F125" s="255">
        <v>16852.890625</v>
      </c>
      <c r="G125" s="29">
        <f t="shared" si="3"/>
        <v>4.7489488888469378E-2</v>
      </c>
    </row>
    <row r="126" spans="2:7" x14ac:dyDescent="0.25">
      <c r="B126" s="251">
        <v>45292</v>
      </c>
      <c r="C126" s="254">
        <v>396.13162199999999</v>
      </c>
      <c r="D126" s="29">
        <f t="shared" si="2"/>
        <v>5.7281190811092175E-2</v>
      </c>
      <c r="F126" s="255">
        <v>16911.130859000001</v>
      </c>
      <c r="G126" s="29">
        <f t="shared" si="3"/>
        <v>3.4558008650222849E-3</v>
      </c>
    </row>
    <row r="127" spans="2:7" x14ac:dyDescent="0.25">
      <c r="B127" s="251">
        <v>45323</v>
      </c>
      <c r="C127" s="254">
        <v>412.13311800000002</v>
      </c>
      <c r="D127" s="29">
        <f t="shared" si="2"/>
        <v>4.0394391942787156E-2</v>
      </c>
      <c r="F127" s="255">
        <v>17607.429688</v>
      </c>
      <c r="G127" s="29">
        <f t="shared" si="3"/>
        <v>4.1173995683998488E-2</v>
      </c>
    </row>
    <row r="128" spans="2:7" x14ac:dyDescent="0.25">
      <c r="B128" s="251">
        <v>45352</v>
      </c>
      <c r="C128" s="254">
        <v>419.96249399999999</v>
      </c>
      <c r="D128" s="29">
        <f t="shared" si="2"/>
        <v>1.8997201773044425E-2</v>
      </c>
      <c r="F128" s="255">
        <v>18312.669922000001</v>
      </c>
      <c r="G128" s="29">
        <f t="shared" si="3"/>
        <v>4.005355957665091E-2</v>
      </c>
    </row>
    <row r="129" spans="1:13" x14ac:dyDescent="0.25">
      <c r="B129" s="251">
        <v>45383</v>
      </c>
      <c r="C129" s="254">
        <v>388.62899800000002</v>
      </c>
      <c r="D129" s="29">
        <f t="shared" si="2"/>
        <v>-7.4610224597818409E-2</v>
      </c>
      <c r="F129" s="255">
        <v>17603.339843999998</v>
      </c>
      <c r="G129" s="29">
        <f t="shared" si="3"/>
        <v>-3.8734388869634206E-2</v>
      </c>
    </row>
    <row r="130" spans="1:13" x14ac:dyDescent="0.25">
      <c r="B130" s="251">
        <v>45413</v>
      </c>
      <c r="C130" s="254">
        <v>414.38256799999999</v>
      </c>
      <c r="D130" s="29">
        <f t="shared" si="2"/>
        <v>6.6267751846968315E-2</v>
      </c>
      <c r="F130" s="255">
        <v>18083.689452999999</v>
      </c>
      <c r="G130" s="29">
        <f t="shared" si="3"/>
        <v>2.7287413255486559E-2</v>
      </c>
    </row>
    <row r="131" spans="1:13" x14ac:dyDescent="0.25">
      <c r="B131" s="251">
        <v>45444</v>
      </c>
      <c r="C131" s="254">
        <v>446.95001200000002</v>
      </c>
      <c r="D131" s="29">
        <f t="shared" si="2"/>
        <v>7.8592697943799639E-2</v>
      </c>
      <c r="F131" s="255">
        <v>18026.5</v>
      </c>
      <c r="G131" s="29">
        <f t="shared" si="3"/>
        <v>-3.162488116633333E-3</v>
      </c>
    </row>
    <row r="132" spans="1:13" x14ac:dyDescent="0.25">
      <c r="B132" s="251">
        <v>45474</v>
      </c>
      <c r="C132" s="254">
        <v>418.35000600000001</v>
      </c>
      <c r="D132" s="29">
        <f t="shared" si="2"/>
        <v>-6.3989272249980411E-2</v>
      </c>
      <c r="F132" s="255">
        <v>18710.009765999999</v>
      </c>
      <c r="G132" s="29">
        <f t="shared" si="3"/>
        <v>3.7916942612265192E-2</v>
      </c>
    </row>
    <row r="133" spans="1:13" x14ac:dyDescent="0.25">
      <c r="B133" s="251">
        <v>45505</v>
      </c>
      <c r="C133" s="254">
        <v>408.48998999999998</v>
      </c>
      <c r="D133" s="29">
        <f t="shared" si="2"/>
        <v>-2.3568820027697113E-2</v>
      </c>
      <c r="F133" s="255">
        <v>18802.240234000001</v>
      </c>
      <c r="G133" s="29">
        <f t="shared" si="3"/>
        <v>4.9294719325909675E-3</v>
      </c>
    </row>
    <row r="136" spans="1:13" ht="18.75" x14ac:dyDescent="0.25">
      <c r="A136" s="5" t="s">
        <v>182</v>
      </c>
      <c r="B136" s="261" t="s">
        <v>407</v>
      </c>
      <c r="C136" s="262"/>
      <c r="D136" s="262"/>
      <c r="E136" s="263"/>
      <c r="F136" s="263"/>
      <c r="G136" s="262"/>
      <c r="H136" s="263"/>
      <c r="I136" s="263"/>
      <c r="J136" s="263"/>
    </row>
    <row r="138" spans="1:13" x14ac:dyDescent="0.2">
      <c r="B138" s="338" t="s">
        <v>408</v>
      </c>
      <c r="C138" s="338"/>
      <c r="D138" s="338"/>
      <c r="F138" s="338" t="s">
        <v>379</v>
      </c>
      <c r="G138" s="338"/>
    </row>
    <row r="140" spans="1:13" x14ac:dyDescent="0.25">
      <c r="B140" s="264" t="s">
        <v>375</v>
      </c>
      <c r="C140" s="265" t="s">
        <v>376</v>
      </c>
      <c r="D140" s="265" t="s">
        <v>378</v>
      </c>
      <c r="F140" s="253" t="s">
        <v>376</v>
      </c>
      <c r="G140" s="265" t="s">
        <v>378</v>
      </c>
      <c r="I140" s="259" t="s">
        <v>405</v>
      </c>
      <c r="J140" s="260">
        <f>M157</f>
        <v>0.86540215408991006</v>
      </c>
      <c r="L140" s="3" t="s">
        <v>380</v>
      </c>
    </row>
    <row r="141" spans="1:13" ht="15.75" thickBot="1" x14ac:dyDescent="0.3">
      <c r="B141" s="251">
        <v>43709</v>
      </c>
      <c r="C141" s="255">
        <v>50.831099999999999</v>
      </c>
      <c r="F141" s="255">
        <v>13004.740234000001</v>
      </c>
    </row>
    <row r="142" spans="1:13" x14ac:dyDescent="0.25">
      <c r="B142" s="251">
        <v>43739</v>
      </c>
      <c r="C142" s="255">
        <v>50.33231</v>
      </c>
      <c r="D142" s="29">
        <f>C142/C141-1</f>
        <v>-9.8126934101366858E-3</v>
      </c>
      <c r="F142" s="255">
        <v>13171.809569999999</v>
      </c>
      <c r="G142" s="29">
        <f>F142/F141-1</f>
        <v>1.2846803011351771E-2</v>
      </c>
      <c r="L142" s="256" t="s">
        <v>381</v>
      </c>
      <c r="M142" s="256"/>
    </row>
    <row r="143" spans="1:13" x14ac:dyDescent="0.25">
      <c r="B143" s="251">
        <v>43770</v>
      </c>
      <c r="C143" s="255">
        <v>52.087704000000002</v>
      </c>
      <c r="D143" s="29">
        <f t="shared" ref="D143:D200" si="4">C143/C142-1</f>
        <v>3.4876086553547792E-2</v>
      </c>
      <c r="F143" s="255">
        <v>13545.209961</v>
      </c>
      <c r="G143" s="29">
        <f t="shared" ref="G143:G200" si="5">F143/F142-1</f>
        <v>2.8348450455164098E-2</v>
      </c>
      <c r="L143" s="84" t="s">
        <v>382</v>
      </c>
      <c r="M143" s="84">
        <v>0.54980535270226338</v>
      </c>
    </row>
    <row r="144" spans="1:13" x14ac:dyDescent="0.25">
      <c r="B144" s="251">
        <v>43800</v>
      </c>
      <c r="C144" s="255">
        <v>49.155796000000002</v>
      </c>
      <c r="D144" s="29">
        <f t="shared" si="4"/>
        <v>-5.6287910098705818E-2</v>
      </c>
      <c r="F144" s="255">
        <v>13913.030273</v>
      </c>
      <c r="G144" s="29">
        <f t="shared" si="5"/>
        <v>2.7155010004204172E-2</v>
      </c>
      <c r="L144" s="84" t="s">
        <v>383</v>
      </c>
      <c r="M144" s="84">
        <v>0.3022859258600602</v>
      </c>
    </row>
    <row r="145" spans="2:20" x14ac:dyDescent="0.25">
      <c r="B145" s="251">
        <v>43831</v>
      </c>
      <c r="C145" s="255">
        <v>48.664051000000001</v>
      </c>
      <c r="D145" s="29">
        <f t="shared" si="4"/>
        <v>-1.0003805044678793E-2</v>
      </c>
      <c r="F145" s="255">
        <v>13614.099609000001</v>
      </c>
      <c r="G145" s="29">
        <f t="shared" si="5"/>
        <v>-2.1485661867645889E-2</v>
      </c>
      <c r="L145" s="84" t="s">
        <v>384</v>
      </c>
      <c r="M145" s="84">
        <v>0.29004532806813144</v>
      </c>
    </row>
    <row r="146" spans="2:20" x14ac:dyDescent="0.25">
      <c r="B146" s="251">
        <v>43862</v>
      </c>
      <c r="C146" s="255">
        <v>46.094135000000001</v>
      </c>
      <c r="D146" s="29">
        <f t="shared" si="4"/>
        <v>-5.2809331471397658E-2</v>
      </c>
      <c r="F146" s="255">
        <v>12380.969727</v>
      </c>
      <c r="G146" s="29">
        <f t="shared" si="5"/>
        <v>-9.0577409995208469E-2</v>
      </c>
      <c r="L146" s="84" t="s">
        <v>385</v>
      </c>
      <c r="M146" s="84">
        <v>6.8915229906430731E-2</v>
      </c>
    </row>
    <row r="147" spans="2:20" ht="15.75" thickBot="1" x14ac:dyDescent="0.3">
      <c r="B147" s="251">
        <v>43891</v>
      </c>
      <c r="C147" s="255">
        <v>45.041027</v>
      </c>
      <c r="D147" s="29">
        <f t="shared" si="4"/>
        <v>-2.2846897983875847E-2</v>
      </c>
      <c r="F147" s="255">
        <v>10301.870117</v>
      </c>
      <c r="G147" s="29">
        <f t="shared" si="5"/>
        <v>-0.16792704092200217</v>
      </c>
      <c r="L147" s="257" t="s">
        <v>386</v>
      </c>
      <c r="M147" s="257">
        <v>59</v>
      </c>
    </row>
    <row r="148" spans="2:20" x14ac:dyDescent="0.25">
      <c r="B148" s="251">
        <v>43922</v>
      </c>
      <c r="C148" s="255">
        <v>49.365268999999998</v>
      </c>
      <c r="D148" s="29">
        <f t="shared" si="4"/>
        <v>9.600673625847822E-2</v>
      </c>
      <c r="F148" s="255">
        <v>11372.339844</v>
      </c>
      <c r="G148" s="29">
        <f t="shared" si="5"/>
        <v>0.10391023327245463</v>
      </c>
    </row>
    <row r="149" spans="2:20" ht="15.75" thickBot="1" x14ac:dyDescent="0.3">
      <c r="B149" s="251">
        <v>43952</v>
      </c>
      <c r="C149" s="255">
        <v>50.348880999999999</v>
      </c>
      <c r="D149" s="29">
        <f t="shared" si="4"/>
        <v>1.992518262181453E-2</v>
      </c>
      <c r="F149" s="255">
        <v>11802.950194999999</v>
      </c>
      <c r="G149" s="29">
        <f t="shared" si="5"/>
        <v>3.7864710069070551E-2</v>
      </c>
      <c r="L149" s="3" t="s">
        <v>387</v>
      </c>
    </row>
    <row r="150" spans="2:20" x14ac:dyDescent="0.25">
      <c r="B150" s="251">
        <v>43983</v>
      </c>
      <c r="C150" s="255">
        <v>51.753436999999998</v>
      </c>
      <c r="D150" s="29">
        <f t="shared" si="4"/>
        <v>2.7896469039699223E-2</v>
      </c>
      <c r="F150" s="255">
        <v>11893.780273</v>
      </c>
      <c r="G150" s="29">
        <f t="shared" si="5"/>
        <v>7.6955402250598048E-3</v>
      </c>
      <c r="L150" s="258"/>
      <c r="M150" s="258" t="s">
        <v>392</v>
      </c>
      <c r="N150" s="258" t="s">
        <v>393</v>
      </c>
      <c r="O150" s="258" t="s">
        <v>394</v>
      </c>
      <c r="P150" s="258" t="s">
        <v>395</v>
      </c>
      <c r="Q150" s="258" t="s">
        <v>396</v>
      </c>
    </row>
    <row r="151" spans="2:20" x14ac:dyDescent="0.25">
      <c r="B151" s="251">
        <v>44013</v>
      </c>
      <c r="C151" s="255">
        <v>51.921989000000004</v>
      </c>
      <c r="D151" s="29">
        <f t="shared" si="4"/>
        <v>3.2568271745894162E-3</v>
      </c>
      <c r="F151" s="255">
        <v>12465.049805000001</v>
      </c>
      <c r="G151" s="29">
        <f t="shared" si="5"/>
        <v>4.803094717470402E-2</v>
      </c>
      <c r="L151" s="84" t="s">
        <v>388</v>
      </c>
      <c r="M151" s="84">
        <v>1</v>
      </c>
      <c r="N151" s="84">
        <v>0.11728587658727524</v>
      </c>
      <c r="O151" s="84">
        <v>0.11728587658727524</v>
      </c>
      <c r="P151" s="84">
        <v>24.695356468569059</v>
      </c>
      <c r="Q151" s="84">
        <v>6.4725081030221615E-6</v>
      </c>
    </row>
    <row r="152" spans="2:20" x14ac:dyDescent="0.25">
      <c r="B152" s="251">
        <v>44044</v>
      </c>
      <c r="C152" s="255">
        <v>53.805897000000002</v>
      </c>
      <c r="D152" s="29">
        <f t="shared" si="4"/>
        <v>3.6283432824578465E-2</v>
      </c>
      <c r="F152" s="255">
        <v>13045.599609000001</v>
      </c>
      <c r="G152" s="29">
        <f t="shared" si="5"/>
        <v>4.657420652800992E-2</v>
      </c>
      <c r="L152" s="84" t="s">
        <v>389</v>
      </c>
      <c r="M152" s="84">
        <v>57</v>
      </c>
      <c r="N152" s="84">
        <v>0.27071060804420372</v>
      </c>
      <c r="O152" s="84">
        <v>4.7493089130562051E-3</v>
      </c>
      <c r="P152" s="84"/>
      <c r="Q152" s="84"/>
    </row>
    <row r="153" spans="2:20" ht="15.75" thickBot="1" x14ac:dyDescent="0.3">
      <c r="B153" s="251">
        <v>44075</v>
      </c>
      <c r="C153" s="255">
        <v>56.137912999999998</v>
      </c>
      <c r="D153" s="29">
        <f t="shared" si="4"/>
        <v>4.3341271682544313E-2</v>
      </c>
      <c r="F153" s="255">
        <v>12701.889648</v>
      </c>
      <c r="G153" s="29">
        <f t="shared" si="5"/>
        <v>-2.6346812051695867E-2</v>
      </c>
      <c r="L153" s="257" t="s">
        <v>390</v>
      </c>
      <c r="M153" s="257">
        <v>58</v>
      </c>
      <c r="N153" s="257">
        <v>0.38799648463147896</v>
      </c>
      <c r="O153" s="257"/>
      <c r="P153" s="257"/>
      <c r="Q153" s="257"/>
    </row>
    <row r="154" spans="2:20" ht="15.75" thickBot="1" x14ac:dyDescent="0.3">
      <c r="B154" s="251">
        <v>44105</v>
      </c>
      <c r="C154" s="255">
        <v>52.762118999999998</v>
      </c>
      <c r="D154" s="29">
        <f t="shared" si="4"/>
        <v>-6.0133941922636103E-2</v>
      </c>
      <c r="F154" s="255">
        <v>12429.330078000001</v>
      </c>
      <c r="G154" s="29">
        <f t="shared" si="5"/>
        <v>-2.1458190675032074E-2</v>
      </c>
    </row>
    <row r="155" spans="2:20" x14ac:dyDescent="0.25">
      <c r="B155" s="251">
        <v>44136</v>
      </c>
      <c r="C155" s="255">
        <v>54.495831000000003</v>
      </c>
      <c r="D155" s="29">
        <f t="shared" si="4"/>
        <v>3.2859029031794718E-2</v>
      </c>
      <c r="F155" s="255">
        <v>14006.459961</v>
      </c>
      <c r="G155" s="29">
        <f t="shared" si="5"/>
        <v>0.12688776250230327</v>
      </c>
      <c r="L155" s="258"/>
      <c r="M155" s="258" t="s">
        <v>397</v>
      </c>
      <c r="N155" s="258" t="s">
        <v>385</v>
      </c>
      <c r="O155" s="258" t="s">
        <v>398</v>
      </c>
      <c r="P155" s="258" t="s">
        <v>399</v>
      </c>
      <c r="Q155" s="258" t="s">
        <v>400</v>
      </c>
      <c r="R155" s="258" t="s">
        <v>401</v>
      </c>
      <c r="S155" s="258" t="s">
        <v>402</v>
      </c>
      <c r="T155" s="258" t="s">
        <v>403</v>
      </c>
    </row>
    <row r="156" spans="2:20" x14ac:dyDescent="0.25">
      <c r="B156" s="251">
        <v>44166</v>
      </c>
      <c r="C156" s="255">
        <v>61.076507999999997</v>
      </c>
      <c r="D156" s="29">
        <f t="shared" si="4"/>
        <v>0.12075560422227527</v>
      </c>
      <c r="F156" s="255">
        <v>14524.799805000001</v>
      </c>
      <c r="G156" s="29">
        <f t="shared" si="5"/>
        <v>3.7007198495785598E-2</v>
      </c>
      <c r="L156" s="84" t="s">
        <v>391</v>
      </c>
      <c r="M156" s="84">
        <v>1.3062590590247251E-2</v>
      </c>
      <c r="N156" s="84">
        <v>9.0695263609082474E-3</v>
      </c>
      <c r="O156" s="84">
        <v>1.44027263061388</v>
      </c>
      <c r="P156" s="84">
        <v>0.15526064144774898</v>
      </c>
      <c r="Q156" s="84">
        <v>-5.0988226796007726E-3</v>
      </c>
      <c r="R156" s="84">
        <v>3.1224003860095273E-2</v>
      </c>
      <c r="S156" s="84">
        <v>-5.0988226796007726E-3</v>
      </c>
      <c r="T156" s="84">
        <v>3.1224003860095273E-2</v>
      </c>
    </row>
    <row r="157" spans="2:20" ht="15.75" thickBot="1" x14ac:dyDescent="0.3">
      <c r="B157" s="251">
        <v>44197</v>
      </c>
      <c r="C157" s="255">
        <v>57.054459000000001</v>
      </c>
      <c r="D157" s="29">
        <f t="shared" si="4"/>
        <v>-6.5852635189948883E-2</v>
      </c>
      <c r="F157" s="255">
        <v>14397.200194999999</v>
      </c>
      <c r="G157" s="29">
        <f t="shared" si="5"/>
        <v>-8.7849479313357737E-3</v>
      </c>
      <c r="L157" s="257" t="s">
        <v>404</v>
      </c>
      <c r="M157" s="257">
        <v>0.86540215408991006</v>
      </c>
      <c r="N157" s="257">
        <v>0.17414472433345832</v>
      </c>
      <c r="O157" s="257">
        <v>4.9694422693667608</v>
      </c>
      <c r="P157" s="257">
        <v>6.4725081030221615E-6</v>
      </c>
      <c r="Q157" s="257">
        <v>0.51668335869440574</v>
      </c>
      <c r="R157" s="257">
        <v>1.2141209494854144</v>
      </c>
      <c r="S157" s="257">
        <v>0.51668335869440574</v>
      </c>
      <c r="T157" s="257">
        <v>1.2141209494854144</v>
      </c>
    </row>
    <row r="158" spans="2:20" x14ac:dyDescent="0.25">
      <c r="B158" s="251">
        <v>44228</v>
      </c>
      <c r="C158" s="255">
        <v>61.139614000000002</v>
      </c>
      <c r="D158" s="29">
        <f t="shared" si="4"/>
        <v>7.1600976884208078E-2</v>
      </c>
      <c r="F158" s="255">
        <v>15010.469727</v>
      </c>
      <c r="G158" s="29">
        <f t="shared" si="5"/>
        <v>4.259644400950835E-2</v>
      </c>
    </row>
    <row r="159" spans="2:20" x14ac:dyDescent="0.25">
      <c r="B159" s="251">
        <v>44256</v>
      </c>
      <c r="C159" s="255">
        <v>66.503899000000004</v>
      </c>
      <c r="D159" s="29">
        <f t="shared" si="4"/>
        <v>8.7738286996708936E-2</v>
      </c>
      <c r="F159" s="255">
        <v>15601.740234000001</v>
      </c>
      <c r="G159" s="29">
        <f t="shared" si="5"/>
        <v>3.9390539920043599E-2</v>
      </c>
    </row>
    <row r="160" spans="2:20" x14ac:dyDescent="0.25">
      <c r="B160" s="251">
        <v>44287</v>
      </c>
      <c r="C160" s="255">
        <v>71.830275999999998</v>
      </c>
      <c r="D160" s="29">
        <f t="shared" si="4"/>
        <v>8.0091198863392776E-2</v>
      </c>
      <c r="F160" s="255">
        <v>16219.330078000001</v>
      </c>
      <c r="G160" s="29">
        <f t="shared" si="5"/>
        <v>3.958467675638655E-2</v>
      </c>
    </row>
    <row r="161" spans="2:7" x14ac:dyDescent="0.25">
      <c r="B161" s="251">
        <v>44317</v>
      </c>
      <c r="C161" s="255">
        <v>74.949027999999998</v>
      </c>
      <c r="D161" s="29">
        <f t="shared" si="4"/>
        <v>4.3418349109503707E-2</v>
      </c>
      <c r="F161" s="255">
        <v>16555.660156000002</v>
      </c>
      <c r="G161" s="29">
        <f t="shared" si="5"/>
        <v>2.0736372981039475E-2</v>
      </c>
    </row>
    <row r="162" spans="2:7" x14ac:dyDescent="0.25">
      <c r="B162" s="251">
        <v>44348</v>
      </c>
      <c r="C162" s="255">
        <v>74.092369000000005</v>
      </c>
      <c r="D162" s="29">
        <f t="shared" si="4"/>
        <v>-1.1429888056720294E-2</v>
      </c>
      <c r="F162" s="255">
        <v>16555.349609000001</v>
      </c>
      <c r="G162" s="29">
        <f t="shared" si="5"/>
        <v>-1.8757753968978719E-5</v>
      </c>
    </row>
    <row r="163" spans="2:7" x14ac:dyDescent="0.25">
      <c r="B163" s="251">
        <v>44378</v>
      </c>
      <c r="C163" s="255">
        <v>82.944603000000001</v>
      </c>
      <c r="D163" s="29">
        <f t="shared" si="4"/>
        <v>0.11947565072457045</v>
      </c>
      <c r="F163" s="255">
        <v>16602.289063</v>
      </c>
      <c r="G163" s="29">
        <f t="shared" si="5"/>
        <v>2.8353043039623937E-3</v>
      </c>
    </row>
    <row r="164" spans="2:7" x14ac:dyDescent="0.25">
      <c r="B164" s="251">
        <v>44409</v>
      </c>
      <c r="C164" s="255">
        <v>85.151756000000006</v>
      </c>
      <c r="D164" s="29">
        <f t="shared" si="4"/>
        <v>2.6609965207742281E-2</v>
      </c>
      <c r="F164" s="255">
        <v>16806.439452999999</v>
      </c>
      <c r="G164" s="29">
        <f t="shared" si="5"/>
        <v>1.2296520631903007E-2</v>
      </c>
    </row>
    <row r="165" spans="2:7" x14ac:dyDescent="0.25">
      <c r="B165" s="251">
        <v>44440</v>
      </c>
      <c r="C165" s="255">
        <v>83.241034999999997</v>
      </c>
      <c r="D165" s="29">
        <f t="shared" si="4"/>
        <v>-2.2439008773935454E-2</v>
      </c>
      <c r="F165" s="255">
        <v>16144.919921999999</v>
      </c>
      <c r="G165" s="29">
        <f t="shared" si="5"/>
        <v>-3.936107542885392E-2</v>
      </c>
    </row>
    <row r="166" spans="2:7" x14ac:dyDescent="0.25">
      <c r="B166" s="251">
        <v>44470</v>
      </c>
      <c r="C166" s="255">
        <v>91.657805999999994</v>
      </c>
      <c r="D166" s="29">
        <f t="shared" si="4"/>
        <v>0.10111324300568825</v>
      </c>
      <c r="F166" s="255">
        <v>17016.410156000002</v>
      </c>
      <c r="G166" s="29">
        <f t="shared" si="5"/>
        <v>5.3979223075145688E-2</v>
      </c>
    </row>
    <row r="167" spans="2:7" x14ac:dyDescent="0.25">
      <c r="B167" s="251">
        <v>44501</v>
      </c>
      <c r="C167" s="255">
        <v>86.991462999999996</v>
      </c>
      <c r="D167" s="29">
        <f t="shared" si="4"/>
        <v>-5.0910481099667559E-2</v>
      </c>
      <c r="F167" s="255">
        <v>16318.969727</v>
      </c>
      <c r="G167" s="29">
        <f t="shared" si="5"/>
        <v>-4.0986343335999376E-2</v>
      </c>
    </row>
    <row r="168" spans="2:7" x14ac:dyDescent="0.25">
      <c r="B168" s="251">
        <v>44531</v>
      </c>
      <c r="C168" s="255">
        <v>83.607285000000005</v>
      </c>
      <c r="D168" s="29">
        <f t="shared" si="4"/>
        <v>-3.8902415056521034E-2</v>
      </c>
      <c r="F168" s="255">
        <v>17164.130859000001</v>
      </c>
      <c r="G168" s="29">
        <f t="shared" si="5"/>
        <v>5.179010355057323E-2</v>
      </c>
    </row>
    <row r="169" spans="2:7" x14ac:dyDescent="0.25">
      <c r="B169" s="251">
        <v>44562</v>
      </c>
      <c r="C169" s="255">
        <v>77.807227999999995</v>
      </c>
      <c r="D169" s="29">
        <f t="shared" si="4"/>
        <v>-6.9372627038421508E-2</v>
      </c>
      <c r="F169" s="255">
        <v>16659.769531000002</v>
      </c>
      <c r="G169" s="29">
        <f t="shared" si="5"/>
        <v>-2.9384612139305433E-2</v>
      </c>
    </row>
    <row r="170" spans="2:7" x14ac:dyDescent="0.25">
      <c r="B170" s="251">
        <v>44593</v>
      </c>
      <c r="C170" s="255">
        <v>73.102180000000004</v>
      </c>
      <c r="D170" s="29">
        <f t="shared" si="4"/>
        <v>-6.0470577360756117E-2</v>
      </c>
      <c r="F170" s="255">
        <v>16313.889648</v>
      </c>
      <c r="G170" s="29">
        <f t="shared" si="5"/>
        <v>-2.0761384625183399E-2</v>
      </c>
    </row>
    <row r="171" spans="2:7" x14ac:dyDescent="0.25">
      <c r="B171" s="251">
        <v>44621</v>
      </c>
      <c r="C171" s="255">
        <v>79.607001999999994</v>
      </c>
      <c r="D171" s="29">
        <f t="shared" si="4"/>
        <v>8.8982599424531461E-2</v>
      </c>
      <c r="F171" s="255">
        <v>16670.910156000002</v>
      </c>
      <c r="G171" s="29">
        <f t="shared" si="5"/>
        <v>2.1884450348955919E-2</v>
      </c>
    </row>
    <row r="172" spans="2:7" x14ac:dyDescent="0.25">
      <c r="B172" s="251">
        <v>44652</v>
      </c>
      <c r="C172" s="255">
        <v>70.629210999999998</v>
      </c>
      <c r="D172" s="29">
        <f t="shared" si="4"/>
        <v>-0.11277639873939727</v>
      </c>
      <c r="F172" s="255">
        <v>15615.25</v>
      </c>
      <c r="G172" s="29">
        <f t="shared" si="5"/>
        <v>-6.3323486607602009E-2</v>
      </c>
    </row>
    <row r="173" spans="2:7" x14ac:dyDescent="0.25">
      <c r="B173" s="251">
        <v>44682</v>
      </c>
      <c r="C173" s="255">
        <v>69.475800000000007</v>
      </c>
      <c r="D173" s="29">
        <f t="shared" si="4"/>
        <v>-1.6330509482825661E-2</v>
      </c>
      <c r="F173" s="255">
        <v>15827.049805000001</v>
      </c>
      <c r="G173" s="29">
        <f t="shared" si="5"/>
        <v>1.3563651238372776E-2</v>
      </c>
    </row>
    <row r="174" spans="2:7" x14ac:dyDescent="0.25">
      <c r="B174" s="251">
        <v>44713</v>
      </c>
      <c r="C174" s="255">
        <v>67.495475999999996</v>
      </c>
      <c r="D174" s="29">
        <f t="shared" si="4"/>
        <v>-2.8503795566226064E-2</v>
      </c>
      <c r="F174" s="255">
        <v>14487.639648</v>
      </c>
      <c r="G174" s="29">
        <f t="shared" si="5"/>
        <v>-8.4627910665755368E-2</v>
      </c>
    </row>
    <row r="175" spans="2:7" x14ac:dyDescent="0.25">
      <c r="B175" s="251">
        <v>44743</v>
      </c>
      <c r="C175" s="255">
        <v>75.194610999999995</v>
      </c>
      <c r="D175" s="29">
        <f t="shared" si="4"/>
        <v>0.11406890441071926</v>
      </c>
      <c r="F175" s="255">
        <v>15327.709961</v>
      </c>
      <c r="G175" s="29">
        <f t="shared" si="5"/>
        <v>5.7985312543024969E-2</v>
      </c>
    </row>
    <row r="176" spans="2:7" x14ac:dyDescent="0.25">
      <c r="B176" s="251">
        <v>44774</v>
      </c>
      <c r="C176" s="255">
        <v>71.950362999999996</v>
      </c>
      <c r="D176" s="29">
        <f t="shared" si="4"/>
        <v>-4.3144687589380615E-2</v>
      </c>
      <c r="F176" s="255">
        <v>14801.240234000001</v>
      </c>
      <c r="G176" s="29">
        <f t="shared" si="5"/>
        <v>-3.4347578884227015E-2</v>
      </c>
    </row>
    <row r="177" spans="2:7" x14ac:dyDescent="0.25">
      <c r="B177" s="251">
        <v>44805</v>
      </c>
      <c r="C177" s="255">
        <v>59.258377000000003</v>
      </c>
      <c r="D177" s="29">
        <f t="shared" si="4"/>
        <v>-0.17639919342727972</v>
      </c>
      <c r="F177" s="255">
        <v>13472.179688</v>
      </c>
      <c r="G177" s="29">
        <f t="shared" si="5"/>
        <v>-8.9793863553880415E-2</v>
      </c>
    </row>
    <row r="178" spans="2:7" x14ac:dyDescent="0.25">
      <c r="B178" s="251">
        <v>44835</v>
      </c>
      <c r="C178" s="255">
        <v>75.754081999999997</v>
      </c>
      <c r="D178" s="29">
        <f t="shared" si="4"/>
        <v>0.27836916626994346</v>
      </c>
      <c r="F178" s="255">
        <v>14747.030273</v>
      </c>
      <c r="G178" s="29">
        <f t="shared" si="5"/>
        <v>9.4628383418574824E-2</v>
      </c>
    </row>
    <row r="179" spans="2:7" x14ac:dyDescent="0.25">
      <c r="B179" s="251">
        <v>44866</v>
      </c>
      <c r="C179" s="255">
        <v>80.981102000000007</v>
      </c>
      <c r="D179" s="29">
        <f t="shared" si="4"/>
        <v>6.899984610730292E-2</v>
      </c>
      <c r="F179" s="255">
        <v>15780.019531</v>
      </c>
      <c r="G179" s="29">
        <f t="shared" si="5"/>
        <v>7.0047273171417901E-2</v>
      </c>
    </row>
    <row r="180" spans="2:7" x14ac:dyDescent="0.25">
      <c r="B180" s="251">
        <v>44896</v>
      </c>
      <c r="C180" s="255">
        <v>79.722922999999994</v>
      </c>
      <c r="D180" s="29">
        <f t="shared" si="4"/>
        <v>-1.5536698920200043E-2</v>
      </c>
      <c r="F180" s="255">
        <v>15184.309569999999</v>
      </c>
      <c r="G180" s="29">
        <f t="shared" si="5"/>
        <v>-3.7750901374343782E-2</v>
      </c>
    </row>
    <row r="181" spans="2:7" x14ac:dyDescent="0.25">
      <c r="B181" s="251">
        <v>44927</v>
      </c>
      <c r="C181" s="255">
        <v>86.277107000000001</v>
      </c>
      <c r="D181" s="29">
        <f t="shared" si="4"/>
        <v>8.2212038311741287E-2</v>
      </c>
      <c r="F181" s="255">
        <v>16036.389648</v>
      </c>
      <c r="G181" s="29">
        <f t="shared" si="5"/>
        <v>5.6115826279218961E-2</v>
      </c>
    </row>
    <row r="182" spans="2:7" x14ac:dyDescent="0.25">
      <c r="B182" s="251">
        <v>44958</v>
      </c>
      <c r="C182" s="255">
        <v>85.562904000000003</v>
      </c>
      <c r="D182" s="29">
        <f t="shared" si="4"/>
        <v>-8.2780128452846213E-3</v>
      </c>
      <c r="F182" s="255">
        <v>15428.969727</v>
      </c>
      <c r="G182" s="29">
        <f t="shared" si="5"/>
        <v>-3.7877598033779103E-2</v>
      </c>
    </row>
    <row r="183" spans="2:7" x14ac:dyDescent="0.25">
      <c r="B183" s="251">
        <v>44986</v>
      </c>
      <c r="C183" s="255">
        <v>90.966865999999996</v>
      </c>
      <c r="D183" s="29">
        <f t="shared" si="4"/>
        <v>6.3157767529722797E-2</v>
      </c>
      <c r="F183" s="255">
        <v>15374.910156</v>
      </c>
      <c r="G183" s="29">
        <f t="shared" si="5"/>
        <v>-3.5037706312559536E-3</v>
      </c>
    </row>
    <row r="184" spans="2:7" x14ac:dyDescent="0.25">
      <c r="B184" s="251">
        <v>45017</v>
      </c>
      <c r="C184" s="255">
        <v>92.729042000000007</v>
      </c>
      <c r="D184" s="29">
        <f t="shared" si="4"/>
        <v>1.9371624828759204E-2</v>
      </c>
      <c r="F184" s="255">
        <v>15545.879883</v>
      </c>
      <c r="G184" s="29">
        <f t="shared" si="5"/>
        <v>1.1120047224034035E-2</v>
      </c>
    </row>
    <row r="185" spans="2:7" x14ac:dyDescent="0.25">
      <c r="B185" s="251">
        <v>45047</v>
      </c>
      <c r="C185" s="255">
        <v>104.147522</v>
      </c>
      <c r="D185" s="29">
        <f t="shared" si="4"/>
        <v>0.12313812106459587</v>
      </c>
      <c r="F185" s="255">
        <v>14887.139648</v>
      </c>
      <c r="G185" s="29">
        <f t="shared" si="5"/>
        <v>-4.2373943447250983E-2</v>
      </c>
    </row>
    <row r="186" spans="2:7" x14ac:dyDescent="0.25">
      <c r="B186" s="251">
        <v>45078</v>
      </c>
      <c r="C186" s="255">
        <v>117.075005</v>
      </c>
      <c r="D186" s="29">
        <f t="shared" si="4"/>
        <v>0.12412664988803113</v>
      </c>
      <c r="F186" s="255">
        <v>15875.910156</v>
      </c>
      <c r="G186" s="29">
        <f t="shared" si="5"/>
        <v>6.6417762671611369E-2</v>
      </c>
    </row>
    <row r="187" spans="2:7" x14ac:dyDescent="0.25">
      <c r="B187" s="251">
        <v>45108</v>
      </c>
      <c r="C187" s="255">
        <v>115.24648999999999</v>
      </c>
      <c r="D187" s="29">
        <f t="shared" si="4"/>
        <v>-1.5618320921703233E-2</v>
      </c>
      <c r="F187" s="255">
        <v>16427.289063</v>
      </c>
      <c r="G187" s="29">
        <f t="shared" si="5"/>
        <v>3.4730538380605358E-2</v>
      </c>
    </row>
    <row r="188" spans="2:7" x14ac:dyDescent="0.25">
      <c r="B188" s="251">
        <v>45139</v>
      </c>
      <c r="C188" s="255">
        <v>118.76836400000001</v>
      </c>
      <c r="D188" s="29">
        <f t="shared" si="4"/>
        <v>3.0559490358448294E-2</v>
      </c>
      <c r="F188" s="255">
        <v>16000.370117</v>
      </c>
      <c r="G188" s="29">
        <f t="shared" si="5"/>
        <v>-2.5988399203467516E-2</v>
      </c>
    </row>
    <row r="189" spans="2:7" x14ac:dyDescent="0.25">
      <c r="B189" s="251">
        <v>45170</v>
      </c>
      <c r="C189" s="255">
        <v>104.493279</v>
      </c>
      <c r="D189" s="29">
        <f t="shared" si="4"/>
        <v>-0.12019265500701859</v>
      </c>
      <c r="F189" s="255">
        <v>15398.209961</v>
      </c>
      <c r="G189" s="29">
        <f t="shared" si="5"/>
        <v>-3.763413918533165E-2</v>
      </c>
    </row>
    <row r="190" spans="2:7" x14ac:dyDescent="0.25">
      <c r="B190" s="251">
        <v>45200</v>
      </c>
      <c r="C190" s="255">
        <v>102.00722500000001</v>
      </c>
      <c r="D190" s="29">
        <f t="shared" si="4"/>
        <v>-2.3791520601052163E-2</v>
      </c>
      <c r="F190" s="255">
        <v>14919.200194999999</v>
      </c>
      <c r="G190" s="29">
        <f t="shared" si="5"/>
        <v>-3.1108146155508942E-2</v>
      </c>
    </row>
    <row r="191" spans="2:7" x14ac:dyDescent="0.25">
      <c r="B191" s="251">
        <v>45231</v>
      </c>
      <c r="C191" s="255">
        <v>115.064194</v>
      </c>
      <c r="D191" s="29">
        <f t="shared" si="4"/>
        <v>0.12800043330264099</v>
      </c>
      <c r="F191" s="255">
        <v>16088.839844</v>
      </c>
      <c r="G191" s="29">
        <f t="shared" si="5"/>
        <v>7.8398280987743041E-2</v>
      </c>
    </row>
    <row r="192" spans="2:7" x14ac:dyDescent="0.25">
      <c r="B192" s="251">
        <v>45261</v>
      </c>
      <c r="C192" s="255">
        <v>104.390488</v>
      </c>
      <c r="D192" s="29">
        <f t="shared" si="4"/>
        <v>-9.2763053639431825E-2</v>
      </c>
      <c r="F192" s="255">
        <v>16852.890625</v>
      </c>
      <c r="G192" s="29">
        <f t="shared" si="5"/>
        <v>4.7489488888469378E-2</v>
      </c>
    </row>
    <row r="193" spans="1:12" x14ac:dyDescent="0.25">
      <c r="B193" s="251">
        <v>45292</v>
      </c>
      <c r="C193" s="255">
        <v>110.59865600000001</v>
      </c>
      <c r="D193" s="29">
        <f t="shared" si="4"/>
        <v>5.9470629163070887E-2</v>
      </c>
      <c r="F193" s="255">
        <v>16911.130859000001</v>
      </c>
      <c r="G193" s="29">
        <f t="shared" si="5"/>
        <v>3.4558008650222849E-3</v>
      </c>
    </row>
    <row r="194" spans="1:12" x14ac:dyDescent="0.25">
      <c r="B194" s="251">
        <v>45323</v>
      </c>
      <c r="C194" s="255">
        <v>111.00733200000001</v>
      </c>
      <c r="D194" s="29">
        <f t="shared" si="4"/>
        <v>3.6951262771223181E-3</v>
      </c>
      <c r="F194" s="255">
        <v>17607.429688</v>
      </c>
      <c r="G194" s="29">
        <f t="shared" si="5"/>
        <v>4.1173995683998488E-2</v>
      </c>
    </row>
    <row r="195" spans="1:12" x14ac:dyDescent="0.25">
      <c r="B195" s="251">
        <v>45352</v>
      </c>
      <c r="C195" s="255">
        <v>124.853432</v>
      </c>
      <c r="D195" s="29">
        <f t="shared" si="4"/>
        <v>0.12473140062496046</v>
      </c>
      <c r="F195" s="255">
        <v>18312.669922000001</v>
      </c>
      <c r="G195" s="29">
        <f t="shared" si="5"/>
        <v>4.005355957665091E-2</v>
      </c>
    </row>
    <row r="196" spans="1:12" x14ac:dyDescent="0.25">
      <c r="B196" s="251">
        <v>45383</v>
      </c>
      <c r="C196" s="255">
        <v>113.064865</v>
      </c>
      <c r="D196" s="29">
        <f t="shared" si="4"/>
        <v>-9.4419246721227479E-2</v>
      </c>
      <c r="F196" s="255">
        <v>17603.339843999998</v>
      </c>
      <c r="G196" s="29">
        <f t="shared" si="5"/>
        <v>-3.8734388869634206E-2</v>
      </c>
    </row>
    <row r="197" spans="1:12" x14ac:dyDescent="0.25">
      <c r="B197" s="251">
        <v>45413</v>
      </c>
      <c r="C197" s="255">
        <v>116.86005400000001</v>
      </c>
      <c r="D197" s="29">
        <f t="shared" si="4"/>
        <v>3.3566475314855904E-2</v>
      </c>
      <c r="F197" s="255">
        <v>18083.689452999999</v>
      </c>
      <c r="G197" s="29">
        <f t="shared" si="5"/>
        <v>2.7287413255486559E-2</v>
      </c>
    </row>
    <row r="198" spans="1:12" x14ac:dyDescent="0.25">
      <c r="B198" s="251">
        <v>45444</v>
      </c>
      <c r="C198" s="255">
        <v>140.80244400000001</v>
      </c>
      <c r="D198" s="29">
        <f t="shared" si="4"/>
        <v>0.20488087400678423</v>
      </c>
      <c r="F198" s="255">
        <v>18026.5</v>
      </c>
      <c r="G198" s="29">
        <f t="shared" si="5"/>
        <v>-3.162488116633333E-3</v>
      </c>
    </row>
    <row r="199" spans="1:12" x14ac:dyDescent="0.25">
      <c r="B199" s="251">
        <v>45474</v>
      </c>
      <c r="C199" s="255">
        <v>139.05737300000001</v>
      </c>
      <c r="D199" s="29">
        <f t="shared" si="4"/>
        <v>-1.2393755040217891E-2</v>
      </c>
      <c r="F199" s="255">
        <v>18710.009765999999</v>
      </c>
      <c r="G199" s="29">
        <f t="shared" si="5"/>
        <v>3.7916942612265192E-2</v>
      </c>
    </row>
    <row r="200" spans="1:12" x14ac:dyDescent="0.25">
      <c r="B200" s="251">
        <v>45505</v>
      </c>
      <c r="C200" s="255">
        <v>133.279999</v>
      </c>
      <c r="D200" s="29">
        <f t="shared" si="4"/>
        <v>-4.1546693104866916E-2</v>
      </c>
      <c r="F200" s="255">
        <v>18802.240234000001</v>
      </c>
      <c r="G200" s="29">
        <f t="shared" si="5"/>
        <v>4.9294719325909675E-3</v>
      </c>
    </row>
    <row r="203" spans="1:12" ht="18.75" x14ac:dyDescent="0.25">
      <c r="A203" s="5" t="s">
        <v>182</v>
      </c>
      <c r="B203" s="261" t="s">
        <v>409</v>
      </c>
      <c r="C203" s="262"/>
      <c r="D203" s="262"/>
      <c r="E203" s="263"/>
      <c r="F203" s="263"/>
      <c r="G203" s="262"/>
      <c r="H203" s="263"/>
      <c r="I203" s="263"/>
      <c r="J203" s="263"/>
    </row>
    <row r="205" spans="1:12" x14ac:dyDescent="0.2">
      <c r="B205" s="338" t="s">
        <v>410</v>
      </c>
      <c r="C205" s="338"/>
      <c r="D205" s="338"/>
      <c r="F205" s="338" t="s">
        <v>379</v>
      </c>
      <c r="G205" s="338"/>
    </row>
    <row r="207" spans="1:12" x14ac:dyDescent="0.25">
      <c r="B207" s="264" t="s">
        <v>375</v>
      </c>
      <c r="C207" s="265" t="s">
        <v>376</v>
      </c>
      <c r="D207" s="265" t="s">
        <v>378</v>
      </c>
      <c r="F207" s="253" t="s">
        <v>376</v>
      </c>
      <c r="G207" s="265" t="s">
        <v>378</v>
      </c>
      <c r="I207" s="259" t="s">
        <v>405</v>
      </c>
      <c r="J207" s="260">
        <f>M224</f>
        <v>1.1190289390394019</v>
      </c>
      <c r="L207" s="3" t="s">
        <v>380</v>
      </c>
    </row>
    <row r="208" spans="1:12" ht="15.75" thickBot="1" x14ac:dyDescent="0.3">
      <c r="B208" s="251">
        <v>43709</v>
      </c>
      <c r="C208" s="255">
        <v>178.68426500000001</v>
      </c>
      <c r="F208" s="255">
        <v>13004.740234000001</v>
      </c>
    </row>
    <row r="209" spans="2:20" x14ac:dyDescent="0.25">
      <c r="B209" s="251">
        <v>43739</v>
      </c>
      <c r="C209" s="255">
        <v>172.24659700000001</v>
      </c>
      <c r="D209" s="29">
        <f>C209/C208-1</f>
        <v>-3.6028175172559296E-2</v>
      </c>
      <c r="F209" s="255">
        <v>13171.809569999999</v>
      </c>
      <c r="G209" s="29">
        <f>F209/F208-1</f>
        <v>1.2846803011351771E-2</v>
      </c>
      <c r="L209" s="256" t="s">
        <v>381</v>
      </c>
      <c r="M209" s="256"/>
    </row>
    <row r="210" spans="2:20" x14ac:dyDescent="0.25">
      <c r="B210" s="251">
        <v>43770</v>
      </c>
      <c r="C210" s="255">
        <v>187.67124899999999</v>
      </c>
      <c r="D210" s="29">
        <f t="shared" ref="D210:D267" si="6">C210/C209-1</f>
        <v>8.9549821410985331E-2</v>
      </c>
      <c r="F210" s="255">
        <v>13545.209961</v>
      </c>
      <c r="G210" s="29">
        <f t="shared" ref="G210:G267" si="7">F210/F209-1</f>
        <v>2.8348450455164098E-2</v>
      </c>
      <c r="L210" s="84" t="s">
        <v>382</v>
      </c>
      <c r="M210" s="84">
        <v>0.73624070347296267</v>
      </c>
    </row>
    <row r="211" spans="2:20" x14ac:dyDescent="0.25">
      <c r="B211" s="251">
        <v>43800</v>
      </c>
      <c r="C211" s="255">
        <v>196.45024100000001</v>
      </c>
      <c r="D211" s="29">
        <f t="shared" si="6"/>
        <v>4.6778566492089668E-2</v>
      </c>
      <c r="F211" s="255">
        <v>13913.030273</v>
      </c>
      <c r="G211" s="29">
        <f t="shared" si="7"/>
        <v>2.7155010004204172E-2</v>
      </c>
      <c r="L211" s="84" t="s">
        <v>383</v>
      </c>
      <c r="M211" s="84">
        <v>0.54205037345036289</v>
      </c>
    </row>
    <row r="212" spans="2:20" x14ac:dyDescent="0.25">
      <c r="B212" s="251">
        <v>43831</v>
      </c>
      <c r="C212" s="255">
        <v>191.449646</v>
      </c>
      <c r="D212" s="29">
        <f t="shared" si="6"/>
        <v>-2.5454766431159515E-2</v>
      </c>
      <c r="F212" s="255">
        <v>13614.099609000001</v>
      </c>
      <c r="G212" s="29">
        <f t="shared" si="7"/>
        <v>-2.1485661867645889E-2</v>
      </c>
      <c r="L212" s="84" t="s">
        <v>384</v>
      </c>
      <c r="M212" s="84">
        <v>0.53401616947580788</v>
      </c>
    </row>
    <row r="213" spans="2:20" x14ac:dyDescent="0.25">
      <c r="B213" s="251">
        <v>43862</v>
      </c>
      <c r="C213" s="255">
        <v>169.131866</v>
      </c>
      <c r="D213" s="29">
        <f t="shared" si="6"/>
        <v>-0.11657258431284845</v>
      </c>
      <c r="F213" s="255">
        <v>12380.969727</v>
      </c>
      <c r="G213" s="29">
        <f t="shared" si="7"/>
        <v>-9.0577409995208469E-2</v>
      </c>
      <c r="L213" s="84" t="s">
        <v>385</v>
      </c>
      <c r="M213" s="84">
        <v>5.3913534910867533E-2</v>
      </c>
    </row>
    <row r="214" spans="2:20" ht="15.75" thickBot="1" x14ac:dyDescent="0.3">
      <c r="B214" s="251">
        <v>43891</v>
      </c>
      <c r="C214" s="255">
        <v>152.901443</v>
      </c>
      <c r="D214" s="29">
        <f t="shared" si="6"/>
        <v>-9.5963128556744048E-2</v>
      </c>
      <c r="F214" s="255">
        <v>10301.870117</v>
      </c>
      <c r="G214" s="29">
        <f t="shared" si="7"/>
        <v>-0.16792704092200217</v>
      </c>
      <c r="L214" s="257" t="s">
        <v>386</v>
      </c>
      <c r="M214" s="257">
        <v>59</v>
      </c>
    </row>
    <row r="215" spans="2:20" x14ac:dyDescent="0.25">
      <c r="B215" s="251">
        <v>43922</v>
      </c>
      <c r="C215" s="255">
        <v>173.440033</v>
      </c>
      <c r="D215" s="29">
        <f t="shared" si="6"/>
        <v>0.1343256780120774</v>
      </c>
      <c r="F215" s="255">
        <v>11372.339844</v>
      </c>
      <c r="G215" s="29">
        <f t="shared" si="7"/>
        <v>0.10391023327245463</v>
      </c>
    </row>
    <row r="216" spans="2:20" ht="15.75" thickBot="1" x14ac:dyDescent="0.3">
      <c r="B216" s="251">
        <v>43952</v>
      </c>
      <c r="C216" s="255">
        <v>189.679596</v>
      </c>
      <c r="D216" s="29">
        <f t="shared" si="6"/>
        <v>9.3632148928384895E-2</v>
      </c>
      <c r="F216" s="255">
        <v>11802.950194999999</v>
      </c>
      <c r="G216" s="29">
        <f t="shared" si="7"/>
        <v>3.7864710069070551E-2</v>
      </c>
      <c r="L216" s="3" t="s">
        <v>387</v>
      </c>
    </row>
    <row r="217" spans="2:20" x14ac:dyDescent="0.25">
      <c r="B217" s="251">
        <v>43983</v>
      </c>
      <c r="C217" s="255">
        <v>202.003784</v>
      </c>
      <c r="D217" s="29">
        <f t="shared" si="6"/>
        <v>6.4973714937688776E-2</v>
      </c>
      <c r="F217" s="255">
        <v>11893.780273</v>
      </c>
      <c r="G217" s="29">
        <f t="shared" si="7"/>
        <v>7.6955402250598048E-3</v>
      </c>
      <c r="L217" s="258"/>
      <c r="M217" s="258" t="s">
        <v>392</v>
      </c>
      <c r="N217" s="258" t="s">
        <v>393</v>
      </c>
      <c r="O217" s="258" t="s">
        <v>394</v>
      </c>
      <c r="P217" s="258" t="s">
        <v>395</v>
      </c>
      <c r="Q217" s="258" t="s">
        <v>396</v>
      </c>
    </row>
    <row r="218" spans="2:20" x14ac:dyDescent="0.25">
      <c r="B218" s="251">
        <v>44013</v>
      </c>
      <c r="C218" s="255">
        <v>211.46798699999999</v>
      </c>
      <c r="D218" s="29">
        <f t="shared" si="6"/>
        <v>4.6851612443062018E-2</v>
      </c>
      <c r="F218" s="255">
        <v>12465.049805000001</v>
      </c>
      <c r="G218" s="29">
        <f t="shared" si="7"/>
        <v>4.803094717470402E-2</v>
      </c>
      <c r="L218" s="84" t="s">
        <v>388</v>
      </c>
      <c r="M218" s="84">
        <v>1</v>
      </c>
      <c r="N218" s="84">
        <v>0.19610669029541594</v>
      </c>
      <c r="O218" s="84">
        <v>0.19610669029541594</v>
      </c>
      <c r="P218" s="84">
        <v>67.467838153858125</v>
      </c>
      <c r="Q218" s="84">
        <v>3.036441709567844E-11</v>
      </c>
    </row>
    <row r="219" spans="2:20" x14ac:dyDescent="0.25">
      <c r="B219" s="251">
        <v>44044</v>
      </c>
      <c r="C219" s="255">
        <v>226.54776000000001</v>
      </c>
      <c r="D219" s="29">
        <f t="shared" si="6"/>
        <v>7.1309956716994805E-2</v>
      </c>
      <c r="F219" s="255">
        <v>13045.599609000001</v>
      </c>
      <c r="G219" s="29">
        <f t="shared" si="7"/>
        <v>4.657420652800992E-2</v>
      </c>
      <c r="L219" s="84" t="s">
        <v>389</v>
      </c>
      <c r="M219" s="84">
        <v>57</v>
      </c>
      <c r="N219" s="84">
        <v>0.16568014705536394</v>
      </c>
      <c r="O219" s="84">
        <v>2.9066692465853322E-3</v>
      </c>
      <c r="P219" s="84"/>
      <c r="Q219" s="84"/>
    </row>
    <row r="220" spans="2:20" ht="15.75" thickBot="1" x14ac:dyDescent="0.3">
      <c r="B220" s="251">
        <v>44075</v>
      </c>
      <c r="C220" s="255">
        <v>213.38523900000001</v>
      </c>
      <c r="D220" s="29">
        <f t="shared" si="6"/>
        <v>-5.8100424387334426E-2</v>
      </c>
      <c r="F220" s="255">
        <v>12701.889648</v>
      </c>
      <c r="G220" s="29">
        <f t="shared" si="7"/>
        <v>-2.6346812051695867E-2</v>
      </c>
      <c r="L220" s="257" t="s">
        <v>390</v>
      </c>
      <c r="M220" s="257">
        <v>58</v>
      </c>
      <c r="N220" s="257">
        <v>0.36178683735077988</v>
      </c>
      <c r="O220" s="257"/>
      <c r="P220" s="257"/>
      <c r="Q220" s="257"/>
    </row>
    <row r="221" spans="2:20" ht="15.75" thickBot="1" x14ac:dyDescent="0.3">
      <c r="B221" s="251">
        <v>44105</v>
      </c>
      <c r="C221" s="255">
        <v>204.811722</v>
      </c>
      <c r="D221" s="29">
        <f t="shared" si="6"/>
        <v>-4.0178585173832104E-2</v>
      </c>
      <c r="F221" s="255">
        <v>12429.330078000001</v>
      </c>
      <c r="G221" s="29">
        <f t="shared" si="7"/>
        <v>-2.1458190675032074E-2</v>
      </c>
    </row>
    <row r="222" spans="2:20" x14ac:dyDescent="0.25">
      <c r="B222" s="251">
        <v>44136</v>
      </c>
      <c r="C222" s="255">
        <v>236.117828</v>
      </c>
      <c r="D222" s="29">
        <f t="shared" si="6"/>
        <v>0.15285309695311278</v>
      </c>
      <c r="F222" s="255">
        <v>14006.459961</v>
      </c>
      <c r="G222" s="29">
        <f t="shared" si="7"/>
        <v>0.12688776250230327</v>
      </c>
      <c r="L222" s="258"/>
      <c r="M222" s="258" t="s">
        <v>397</v>
      </c>
      <c r="N222" s="258" t="s">
        <v>385</v>
      </c>
      <c r="O222" s="258" t="s">
        <v>398</v>
      </c>
      <c r="P222" s="258" t="s">
        <v>399</v>
      </c>
      <c r="Q222" s="258" t="s">
        <v>400</v>
      </c>
      <c r="R222" s="258" t="s">
        <v>401</v>
      </c>
      <c r="S222" s="258" t="s">
        <v>402</v>
      </c>
      <c r="T222" s="258" t="s">
        <v>403</v>
      </c>
    </row>
    <row r="223" spans="2:20" x14ac:dyDescent="0.25">
      <c r="B223" s="251">
        <v>44166</v>
      </c>
      <c r="C223" s="255">
        <v>247.60664399999999</v>
      </c>
      <c r="D223" s="29">
        <f t="shared" si="6"/>
        <v>4.8657130625477274E-2</v>
      </c>
      <c r="F223" s="255">
        <v>14524.799805000001</v>
      </c>
      <c r="G223" s="29">
        <f t="shared" si="7"/>
        <v>3.7007198495785598E-2</v>
      </c>
      <c r="L223" s="84" t="s">
        <v>391</v>
      </c>
      <c r="M223" s="84">
        <v>4.6414364147082318E-3</v>
      </c>
      <c r="N223" s="84">
        <v>7.0952418898951172E-3</v>
      </c>
      <c r="O223" s="84">
        <v>0.65416182939703016</v>
      </c>
      <c r="P223" s="84">
        <v>0.51563831333469767</v>
      </c>
      <c r="Q223" s="84">
        <v>-9.5665403951213836E-3</v>
      </c>
      <c r="R223" s="84">
        <v>1.8849413224537849E-2</v>
      </c>
      <c r="S223" s="84">
        <v>-9.5665403951213836E-3</v>
      </c>
      <c r="T223" s="84">
        <v>1.8849413224537849E-2</v>
      </c>
    </row>
    <row r="224" spans="2:20" ht="15.75" thickBot="1" x14ac:dyDescent="0.3">
      <c r="B224" s="251">
        <v>44197</v>
      </c>
      <c r="C224" s="255">
        <v>229.32122799999999</v>
      </c>
      <c r="D224" s="29">
        <f t="shared" si="6"/>
        <v>-7.3848648423182062E-2</v>
      </c>
      <c r="F224" s="255">
        <v>14397.200194999999</v>
      </c>
      <c r="G224" s="29">
        <f t="shared" si="7"/>
        <v>-8.7849479313357737E-3</v>
      </c>
      <c r="L224" s="257" t="s">
        <v>404</v>
      </c>
      <c r="M224" s="257">
        <v>1.1190289390394019</v>
      </c>
      <c r="N224" s="257">
        <v>0.13623632523090817</v>
      </c>
      <c r="O224" s="257">
        <v>8.2138808217466934</v>
      </c>
      <c r="P224" s="257">
        <v>3.036441709567822E-11</v>
      </c>
      <c r="Q224" s="257">
        <v>0.84622040346377247</v>
      </c>
      <c r="R224" s="257">
        <v>1.3918374746150315</v>
      </c>
      <c r="S224" s="257">
        <v>0.84622040346377247</v>
      </c>
      <c r="T224" s="257">
        <v>1.3918374746150315</v>
      </c>
    </row>
    <row r="225" spans="2:7" x14ac:dyDescent="0.25">
      <c r="B225" s="251">
        <v>44228</v>
      </c>
      <c r="C225" s="255">
        <v>238.64627100000001</v>
      </c>
      <c r="D225" s="29">
        <f t="shared" si="6"/>
        <v>4.0663671136454971E-2</v>
      </c>
      <c r="F225" s="255">
        <v>15010.469727</v>
      </c>
      <c r="G225" s="29">
        <f t="shared" si="7"/>
        <v>4.259644400950835E-2</v>
      </c>
    </row>
    <row r="226" spans="2:7" x14ac:dyDescent="0.25">
      <c r="B226" s="251">
        <v>44256</v>
      </c>
      <c r="C226" s="255">
        <v>262.75824</v>
      </c>
      <c r="D226" s="29">
        <f t="shared" si="6"/>
        <v>0.10103643731353329</v>
      </c>
      <c r="F226" s="255">
        <v>15601.740234000001</v>
      </c>
      <c r="G226" s="29">
        <f t="shared" si="7"/>
        <v>3.9390539920043599E-2</v>
      </c>
    </row>
    <row r="227" spans="2:7" x14ac:dyDescent="0.25">
      <c r="B227" s="251">
        <v>44287</v>
      </c>
      <c r="C227" s="255">
        <v>275.80810500000001</v>
      </c>
      <c r="D227" s="29">
        <f t="shared" si="6"/>
        <v>4.9664912506644843E-2</v>
      </c>
      <c r="F227" s="255">
        <v>16219.330078000001</v>
      </c>
      <c r="G227" s="29">
        <f t="shared" si="7"/>
        <v>3.958467675638655E-2</v>
      </c>
    </row>
    <row r="228" spans="2:7" x14ac:dyDescent="0.25">
      <c r="B228" s="251">
        <v>44317</v>
      </c>
      <c r="C228" s="255">
        <v>269.21017499999999</v>
      </c>
      <c r="D228" s="29">
        <f t="shared" si="6"/>
        <v>-2.3922175891096575E-2</v>
      </c>
      <c r="F228" s="255">
        <v>16555.660156000002</v>
      </c>
      <c r="G228" s="29">
        <f t="shared" si="7"/>
        <v>2.0736372981039475E-2</v>
      </c>
    </row>
    <row r="229" spans="2:7" x14ac:dyDescent="0.25">
      <c r="B229" s="251">
        <v>44348</v>
      </c>
      <c r="C229" s="255">
        <v>281.26058999999998</v>
      </c>
      <c r="D229" s="29">
        <f t="shared" si="6"/>
        <v>4.4762108267267342E-2</v>
      </c>
      <c r="F229" s="255">
        <v>16555.349609000001</v>
      </c>
      <c r="G229" s="29">
        <f t="shared" si="7"/>
        <v>-1.8757753968978719E-5</v>
      </c>
    </row>
    <row r="230" spans="2:7" x14ac:dyDescent="0.25">
      <c r="B230" s="251">
        <v>44378</v>
      </c>
      <c r="C230" s="255">
        <v>303.09997600000003</v>
      </c>
      <c r="D230" s="29">
        <f t="shared" si="6"/>
        <v>7.7648226507667006E-2</v>
      </c>
      <c r="F230" s="255">
        <v>16602.289063</v>
      </c>
      <c r="G230" s="29">
        <f t="shared" si="7"/>
        <v>2.8353043039623937E-3</v>
      </c>
    </row>
    <row r="231" spans="2:7" x14ac:dyDescent="0.25">
      <c r="B231" s="251">
        <v>44409</v>
      </c>
      <c r="C231" s="255">
        <v>322.01989700000001</v>
      </c>
      <c r="D231" s="29">
        <f t="shared" si="6"/>
        <v>6.2421387324689048E-2</v>
      </c>
      <c r="F231" s="255">
        <v>16806.439452999999</v>
      </c>
      <c r="G231" s="29">
        <f t="shared" si="7"/>
        <v>1.2296520631903007E-2</v>
      </c>
    </row>
    <row r="232" spans="2:7" x14ac:dyDescent="0.25">
      <c r="B232" s="251">
        <v>44440</v>
      </c>
      <c r="C232" s="255">
        <v>306.098816</v>
      </c>
      <c r="D232" s="29">
        <f t="shared" si="6"/>
        <v>-4.9441295858808409E-2</v>
      </c>
      <c r="F232" s="255">
        <v>16144.919921999999</v>
      </c>
      <c r="G232" s="29">
        <f t="shared" si="7"/>
        <v>-3.936107542885392E-2</v>
      </c>
    </row>
    <row r="233" spans="2:7" x14ac:dyDescent="0.25">
      <c r="B233" s="251">
        <v>44470</v>
      </c>
      <c r="C233" s="255">
        <v>343.28955100000002</v>
      </c>
      <c r="D233" s="29">
        <f t="shared" si="6"/>
        <v>0.12149911419454829</v>
      </c>
      <c r="F233" s="255">
        <v>17016.410156000002</v>
      </c>
      <c r="G233" s="29">
        <f t="shared" si="7"/>
        <v>5.3979223075145688E-2</v>
      </c>
    </row>
    <row r="234" spans="2:7" x14ac:dyDescent="0.25">
      <c r="B234" s="251">
        <v>44501</v>
      </c>
      <c r="C234" s="255">
        <v>342.97479199999998</v>
      </c>
      <c r="D234" s="29">
        <f t="shared" si="6"/>
        <v>-9.1689070955747187E-4</v>
      </c>
      <c r="F234" s="255">
        <v>16318.969727</v>
      </c>
      <c r="G234" s="29">
        <f t="shared" si="7"/>
        <v>-4.0986343335999376E-2</v>
      </c>
    </row>
    <row r="235" spans="2:7" x14ac:dyDescent="0.25">
      <c r="B235" s="251">
        <v>44531</v>
      </c>
      <c r="C235" s="255">
        <v>397.81814600000001</v>
      </c>
      <c r="D235" s="29">
        <f t="shared" si="6"/>
        <v>0.15990491219541303</v>
      </c>
      <c r="F235" s="255">
        <v>17164.130859000001</v>
      </c>
      <c r="G235" s="29">
        <f t="shared" si="7"/>
        <v>5.179010355057323E-2</v>
      </c>
    </row>
    <row r="236" spans="2:7" x14ac:dyDescent="0.25">
      <c r="B236" s="251">
        <v>44562</v>
      </c>
      <c r="C236" s="255">
        <v>339.30898999999999</v>
      </c>
      <c r="D236" s="29">
        <f t="shared" si="6"/>
        <v>-0.14707513115804427</v>
      </c>
      <c r="F236" s="255">
        <v>16659.769531000002</v>
      </c>
      <c r="G236" s="29">
        <f t="shared" si="7"/>
        <v>-2.9384612139305433E-2</v>
      </c>
    </row>
    <row r="237" spans="2:7" x14ac:dyDescent="0.25">
      <c r="B237" s="251">
        <v>44593</v>
      </c>
      <c r="C237" s="255">
        <v>304.05120799999997</v>
      </c>
      <c r="D237" s="29">
        <f t="shared" si="6"/>
        <v>-0.1039105447810269</v>
      </c>
      <c r="F237" s="255">
        <v>16313.889648</v>
      </c>
      <c r="G237" s="29">
        <f t="shared" si="7"/>
        <v>-2.0761384625183399E-2</v>
      </c>
    </row>
    <row r="238" spans="2:7" x14ac:dyDescent="0.25">
      <c r="B238" s="251">
        <v>44621</v>
      </c>
      <c r="C238" s="255">
        <v>324.45791600000001</v>
      </c>
      <c r="D238" s="29">
        <f t="shared" si="6"/>
        <v>6.7116023429842908E-2</v>
      </c>
      <c r="F238" s="255">
        <v>16670.910156000002</v>
      </c>
      <c r="G238" s="29">
        <f t="shared" si="7"/>
        <v>2.1884450348955919E-2</v>
      </c>
    </row>
    <row r="239" spans="2:7" x14ac:dyDescent="0.25">
      <c r="B239" s="251">
        <v>44652</v>
      </c>
      <c r="C239" s="255">
        <v>288.98431399999998</v>
      </c>
      <c r="D239" s="29">
        <f t="shared" si="6"/>
        <v>-0.10933190485018107</v>
      </c>
      <c r="F239" s="255">
        <v>15615.25</v>
      </c>
      <c r="G239" s="29">
        <f t="shared" si="7"/>
        <v>-6.3323486607602009E-2</v>
      </c>
    </row>
    <row r="240" spans="2:7" x14ac:dyDescent="0.25">
      <c r="B240" s="251">
        <v>44682</v>
      </c>
      <c r="C240" s="255">
        <v>288.01132200000001</v>
      </c>
      <c r="D240" s="29">
        <f t="shared" si="6"/>
        <v>-3.3669370718854008E-3</v>
      </c>
      <c r="F240" s="255">
        <v>15827.049805000001</v>
      </c>
      <c r="G240" s="29">
        <f t="shared" si="7"/>
        <v>1.3563651238372776E-2</v>
      </c>
    </row>
    <row r="241" spans="2:7" x14ac:dyDescent="0.25">
      <c r="B241" s="251">
        <v>44713</v>
      </c>
      <c r="C241" s="255">
        <v>267.92984000000001</v>
      </c>
      <c r="D241" s="29">
        <f t="shared" si="6"/>
        <v>-6.9724627006156337E-2</v>
      </c>
      <c r="F241" s="255">
        <v>14487.639648</v>
      </c>
      <c r="G241" s="29">
        <f t="shared" si="7"/>
        <v>-8.4627910665755368E-2</v>
      </c>
    </row>
    <row r="242" spans="2:7" x14ac:dyDescent="0.25">
      <c r="B242" s="251">
        <v>44743</v>
      </c>
      <c r="C242" s="255">
        <v>295.538208</v>
      </c>
      <c r="D242" s="29">
        <f t="shared" si="6"/>
        <v>0.10304327431390248</v>
      </c>
      <c r="F242" s="255">
        <v>15327.709961</v>
      </c>
      <c r="G242" s="29">
        <f t="shared" si="7"/>
        <v>5.7985312543024969E-2</v>
      </c>
    </row>
    <row r="243" spans="2:7" x14ac:dyDescent="0.25">
      <c r="B243" s="251">
        <v>44774</v>
      </c>
      <c r="C243" s="255">
        <v>279.35153200000002</v>
      </c>
      <c r="D243" s="29">
        <f t="shared" si="6"/>
        <v>-5.4770163592519183E-2</v>
      </c>
      <c r="F243" s="255">
        <v>14801.240234000001</v>
      </c>
      <c r="G243" s="29">
        <f t="shared" si="7"/>
        <v>-3.4347578884227015E-2</v>
      </c>
    </row>
    <row r="244" spans="2:7" x14ac:dyDescent="0.25">
      <c r="B244" s="251">
        <v>44805</v>
      </c>
      <c r="C244" s="255">
        <v>249.17544599999999</v>
      </c>
      <c r="D244" s="29">
        <f t="shared" si="6"/>
        <v>-0.10802190982793691</v>
      </c>
      <c r="F244" s="255">
        <v>13472.179688</v>
      </c>
      <c r="G244" s="29">
        <f t="shared" si="7"/>
        <v>-8.9793863553880415E-2</v>
      </c>
    </row>
    <row r="245" spans="2:7" x14ac:dyDescent="0.25">
      <c r="B245" s="251">
        <v>44835</v>
      </c>
      <c r="C245" s="255">
        <v>274.93551600000001</v>
      </c>
      <c r="D245" s="29">
        <f t="shared" si="6"/>
        <v>0.10338125370507023</v>
      </c>
      <c r="F245" s="255">
        <v>14747.030273</v>
      </c>
      <c r="G245" s="29">
        <f t="shared" si="7"/>
        <v>9.4628383418574824E-2</v>
      </c>
    </row>
    <row r="246" spans="2:7" x14ac:dyDescent="0.25">
      <c r="B246" s="251">
        <v>44866</v>
      </c>
      <c r="C246" s="255">
        <v>292.723724</v>
      </c>
      <c r="D246" s="29">
        <f t="shared" si="6"/>
        <v>6.4699563951570394E-2</v>
      </c>
      <c r="F246" s="255">
        <v>15780.019531</v>
      </c>
      <c r="G246" s="29">
        <f t="shared" si="7"/>
        <v>7.0047273171417901E-2</v>
      </c>
    </row>
    <row r="247" spans="2:7" x14ac:dyDescent="0.25">
      <c r="B247" s="251">
        <v>44896</v>
      </c>
      <c r="C247" s="255">
        <v>259.563354</v>
      </c>
      <c r="D247" s="29">
        <f t="shared" si="6"/>
        <v>-0.11328214039802253</v>
      </c>
      <c r="F247" s="255">
        <v>15184.309569999999</v>
      </c>
      <c r="G247" s="29">
        <f t="shared" si="7"/>
        <v>-3.7750901374343782E-2</v>
      </c>
    </row>
    <row r="248" spans="2:7" x14ac:dyDescent="0.25">
      <c r="B248" s="251">
        <v>44927</v>
      </c>
      <c r="C248" s="255">
        <v>271.44036899999998</v>
      </c>
      <c r="D248" s="29">
        <f t="shared" si="6"/>
        <v>4.5757672710609043E-2</v>
      </c>
      <c r="F248" s="255">
        <v>16036.389648</v>
      </c>
      <c r="G248" s="29">
        <f t="shared" si="7"/>
        <v>5.6115826279218961E-2</v>
      </c>
    </row>
    <row r="249" spans="2:7" x14ac:dyDescent="0.25">
      <c r="B249" s="251">
        <v>44958</v>
      </c>
      <c r="C249" s="255">
        <v>259.36511200000001</v>
      </c>
      <c r="D249" s="29">
        <f t="shared" si="6"/>
        <v>-4.4485855381370953E-2</v>
      </c>
      <c r="F249" s="255">
        <v>15428.969727</v>
      </c>
      <c r="G249" s="29">
        <f t="shared" si="7"/>
        <v>-3.7877598033779103E-2</v>
      </c>
    </row>
    <row r="250" spans="2:7" x14ac:dyDescent="0.25">
      <c r="B250" s="251">
        <v>44986</v>
      </c>
      <c r="C250" s="255">
        <v>279.15325899999999</v>
      </c>
      <c r="D250" s="29">
        <f t="shared" si="6"/>
        <v>7.6294559616792101E-2</v>
      </c>
      <c r="F250" s="255">
        <v>15374.910156</v>
      </c>
      <c r="G250" s="29">
        <f t="shared" si="7"/>
        <v>-3.5037706312559536E-3</v>
      </c>
    </row>
    <row r="251" spans="2:7" x14ac:dyDescent="0.25">
      <c r="B251" s="251">
        <v>45017</v>
      </c>
      <c r="C251" s="255">
        <v>273.761841</v>
      </c>
      <c r="D251" s="29">
        <f t="shared" si="6"/>
        <v>-1.9313469666495942E-2</v>
      </c>
      <c r="F251" s="255">
        <v>15545.879883</v>
      </c>
      <c r="G251" s="29">
        <f t="shared" si="7"/>
        <v>1.1120047224034035E-2</v>
      </c>
    </row>
    <row r="252" spans="2:7" x14ac:dyDescent="0.25">
      <c r="B252" s="251">
        <v>45047</v>
      </c>
      <c r="C252" s="255">
        <v>299.968231</v>
      </c>
      <c r="D252" s="29">
        <f t="shared" si="6"/>
        <v>9.5726964372657042E-2</v>
      </c>
      <c r="F252" s="255">
        <v>14887.139648</v>
      </c>
      <c r="G252" s="29">
        <f t="shared" si="7"/>
        <v>-4.2373943447250983E-2</v>
      </c>
    </row>
    <row r="253" spans="2:7" x14ac:dyDescent="0.25">
      <c r="B253" s="251">
        <v>45078</v>
      </c>
      <c r="C253" s="255">
        <v>302.57647700000001</v>
      </c>
      <c r="D253" s="29">
        <f t="shared" si="6"/>
        <v>8.69507411269832E-3</v>
      </c>
      <c r="F253" s="255">
        <v>15875.910156</v>
      </c>
      <c r="G253" s="29">
        <f t="shared" si="7"/>
        <v>6.6417762671611369E-2</v>
      </c>
    </row>
    <row r="254" spans="2:7" x14ac:dyDescent="0.25">
      <c r="B254" s="251">
        <v>45108</v>
      </c>
      <c r="C254" s="255">
        <v>310.195313</v>
      </c>
      <c r="D254" s="29">
        <f t="shared" si="6"/>
        <v>2.517986882370904E-2</v>
      </c>
      <c r="F254" s="255">
        <v>16427.289063</v>
      </c>
      <c r="G254" s="29">
        <f t="shared" si="7"/>
        <v>3.4730538380605358E-2</v>
      </c>
    </row>
    <row r="255" spans="2:7" x14ac:dyDescent="0.25">
      <c r="B255" s="251">
        <v>45139</v>
      </c>
      <c r="C255" s="255">
        <v>318.62313799999998</v>
      </c>
      <c r="D255" s="29">
        <f t="shared" si="6"/>
        <v>2.7169414387637758E-2</v>
      </c>
      <c r="F255" s="255">
        <v>16000.370117</v>
      </c>
      <c r="G255" s="29">
        <f t="shared" si="7"/>
        <v>-2.5988399203467516E-2</v>
      </c>
    </row>
    <row r="256" spans="2:7" x14ac:dyDescent="0.25">
      <c r="B256" s="251">
        <v>45170</v>
      </c>
      <c r="C256" s="255">
        <v>302.22796599999998</v>
      </c>
      <c r="D256" s="29">
        <f t="shared" si="6"/>
        <v>-5.1456313257450925E-2</v>
      </c>
      <c r="F256" s="255">
        <v>15398.209961</v>
      </c>
      <c r="G256" s="29">
        <f t="shared" si="7"/>
        <v>-3.763413918533165E-2</v>
      </c>
    </row>
    <row r="257" spans="1:10" x14ac:dyDescent="0.25">
      <c r="B257" s="251">
        <v>45200</v>
      </c>
      <c r="C257" s="255">
        <v>292.367279</v>
      </c>
      <c r="D257" s="29">
        <f t="shared" si="6"/>
        <v>-3.262665308742474E-2</v>
      </c>
      <c r="F257" s="255">
        <v>14919.200194999999</v>
      </c>
      <c r="G257" s="29">
        <f t="shared" si="7"/>
        <v>-3.1108146155508942E-2</v>
      </c>
    </row>
    <row r="258" spans="1:10" x14ac:dyDescent="0.25">
      <c r="B258" s="251">
        <v>45231</v>
      </c>
      <c r="C258" s="255">
        <v>329.20394900000002</v>
      </c>
      <c r="D258" s="29">
        <f t="shared" si="6"/>
        <v>0.12599450296214587</v>
      </c>
      <c r="F258" s="255">
        <v>16088.839844</v>
      </c>
      <c r="G258" s="29">
        <f t="shared" si="7"/>
        <v>7.8398280987743041E-2</v>
      </c>
    </row>
    <row r="259" spans="1:10" x14ac:dyDescent="0.25">
      <c r="B259" s="251">
        <v>45261</v>
      </c>
      <c r="C259" s="255">
        <v>346.76394699999997</v>
      </c>
      <c r="D259" s="29">
        <f t="shared" si="6"/>
        <v>5.3340787840913562E-2</v>
      </c>
      <c r="F259" s="255">
        <v>16852.890625</v>
      </c>
      <c r="G259" s="29">
        <f t="shared" si="7"/>
        <v>4.7489488888469378E-2</v>
      </c>
    </row>
    <row r="260" spans="1:10" x14ac:dyDescent="0.25">
      <c r="B260" s="251">
        <v>45292</v>
      </c>
      <c r="C260" s="255">
        <v>359.58071899999999</v>
      </c>
      <c r="D260" s="29">
        <f t="shared" si="6"/>
        <v>3.6961085807458494E-2</v>
      </c>
      <c r="F260" s="255">
        <v>16911.130859000001</v>
      </c>
      <c r="G260" s="29">
        <f t="shared" si="7"/>
        <v>3.4558008650222849E-3</v>
      </c>
    </row>
    <row r="261" spans="1:10" x14ac:dyDescent="0.25">
      <c r="B261" s="251">
        <v>45323</v>
      </c>
      <c r="C261" s="255">
        <v>371.70431500000001</v>
      </c>
      <c r="D261" s="29">
        <f t="shared" si="6"/>
        <v>3.3715923461402397E-2</v>
      </c>
      <c r="F261" s="255">
        <v>17607.429688</v>
      </c>
      <c r="G261" s="29">
        <f t="shared" si="7"/>
        <v>4.1173995683998488E-2</v>
      </c>
    </row>
    <row r="262" spans="1:10" x14ac:dyDescent="0.25">
      <c r="B262" s="251">
        <v>45352</v>
      </c>
      <c r="C262" s="255">
        <v>343.76547199999999</v>
      </c>
      <c r="D262" s="29">
        <f t="shared" si="6"/>
        <v>-7.5164161061729962E-2</v>
      </c>
      <c r="F262" s="255">
        <v>18312.669922000001</v>
      </c>
      <c r="G262" s="29">
        <f t="shared" si="7"/>
        <v>4.005355957665091E-2</v>
      </c>
    </row>
    <row r="263" spans="1:10" x14ac:dyDescent="0.25">
      <c r="B263" s="251">
        <v>45383</v>
      </c>
      <c r="C263" s="255">
        <v>298.44052099999999</v>
      </c>
      <c r="D263" s="29">
        <f t="shared" si="6"/>
        <v>-0.13184846848144194</v>
      </c>
      <c r="F263" s="255">
        <v>17603.339843999998</v>
      </c>
      <c r="G263" s="29">
        <f t="shared" si="7"/>
        <v>-3.8734388869634206E-2</v>
      </c>
    </row>
    <row r="264" spans="1:10" x14ac:dyDescent="0.25">
      <c r="B264" s="251">
        <v>45413</v>
      </c>
      <c r="C264" s="255">
        <v>281.05740400000002</v>
      </c>
      <c r="D264" s="29">
        <f t="shared" si="6"/>
        <v>-5.8246503999368038E-2</v>
      </c>
      <c r="F264" s="255">
        <v>18083.689452999999</v>
      </c>
      <c r="G264" s="29">
        <f t="shared" si="7"/>
        <v>2.7287413255486559E-2</v>
      </c>
    </row>
    <row r="265" spans="1:10" x14ac:dyDescent="0.25">
      <c r="B265" s="251">
        <v>45444</v>
      </c>
      <c r="C265" s="255">
        <v>302.08520499999997</v>
      </c>
      <c r="D265" s="29">
        <f t="shared" si="6"/>
        <v>7.4816748111713016E-2</v>
      </c>
      <c r="F265" s="255">
        <v>18026.5</v>
      </c>
      <c r="G265" s="29">
        <f t="shared" si="7"/>
        <v>-3.162488116633333E-3</v>
      </c>
    </row>
    <row r="266" spans="1:10" x14ac:dyDescent="0.25">
      <c r="B266" s="251">
        <v>45474</v>
      </c>
      <c r="C266" s="255">
        <v>329.17639200000002</v>
      </c>
      <c r="D266" s="29">
        <f t="shared" si="6"/>
        <v>8.9680615109899442E-2</v>
      </c>
      <c r="F266" s="255">
        <v>18710.009765999999</v>
      </c>
      <c r="G266" s="29">
        <f t="shared" si="7"/>
        <v>3.7916942612265192E-2</v>
      </c>
    </row>
    <row r="267" spans="1:10" x14ac:dyDescent="0.25">
      <c r="B267" s="251">
        <v>45505</v>
      </c>
      <c r="C267" s="255">
        <v>323.14999399999999</v>
      </c>
      <c r="D267" s="29">
        <f t="shared" si="6"/>
        <v>-1.8307503655973112E-2</v>
      </c>
      <c r="F267" s="255">
        <v>18802.240234000001</v>
      </c>
      <c r="G267" s="29">
        <f t="shared" si="7"/>
        <v>4.9294719325909675E-3</v>
      </c>
    </row>
    <row r="270" spans="1:10" ht="18.75" x14ac:dyDescent="0.25">
      <c r="A270" s="5" t="s">
        <v>182</v>
      </c>
      <c r="B270" s="261" t="s">
        <v>411</v>
      </c>
      <c r="C270" s="262"/>
      <c r="D270" s="262"/>
      <c r="E270" s="263"/>
      <c r="F270" s="263"/>
      <c r="G270" s="262"/>
      <c r="H270" s="263"/>
      <c r="I270" s="263"/>
      <c r="J270" s="263"/>
    </row>
    <row r="272" spans="1:10" x14ac:dyDescent="0.2">
      <c r="B272" s="338" t="s">
        <v>412</v>
      </c>
      <c r="C272" s="338"/>
      <c r="D272" s="338"/>
      <c r="F272" s="338" t="s">
        <v>379</v>
      </c>
      <c r="G272" s="338"/>
    </row>
    <row r="274" spans="2:17" x14ac:dyDescent="0.25">
      <c r="B274" s="264" t="s">
        <v>375</v>
      </c>
      <c r="C274" s="265" t="s">
        <v>376</v>
      </c>
      <c r="D274" s="265" t="s">
        <v>378</v>
      </c>
      <c r="F274" s="253" t="s">
        <v>376</v>
      </c>
      <c r="G274" s="265" t="s">
        <v>378</v>
      </c>
      <c r="I274" s="259" t="s">
        <v>405</v>
      </c>
      <c r="J274" s="260">
        <f>M291</f>
        <v>1.1769903549160372</v>
      </c>
      <c r="L274" s="3" t="s">
        <v>380</v>
      </c>
    </row>
    <row r="275" spans="2:17" ht="15.75" thickBot="1" x14ac:dyDescent="0.3">
      <c r="B275" s="251">
        <v>43709</v>
      </c>
      <c r="C275" s="255">
        <v>107.88452100000001</v>
      </c>
      <c r="F275" s="255">
        <v>13004.740234000001</v>
      </c>
    </row>
    <row r="276" spans="2:17" x14ac:dyDescent="0.25">
      <c r="B276" s="251">
        <v>43739</v>
      </c>
      <c r="C276" s="255">
        <v>121.348343</v>
      </c>
      <c r="D276" s="29">
        <f>C276/C275-1</f>
        <v>0.12479845927109401</v>
      </c>
      <c r="F276" s="255">
        <v>13171.809569999999</v>
      </c>
      <c r="G276" s="29">
        <f>F276/F275-1</f>
        <v>1.2846803011351771E-2</v>
      </c>
      <c r="L276" s="256" t="s">
        <v>381</v>
      </c>
      <c r="M276" s="256"/>
    </row>
    <row r="277" spans="2:17" x14ac:dyDescent="0.25">
      <c r="B277" s="251">
        <v>43770</v>
      </c>
      <c r="C277" s="255">
        <v>124.432861</v>
      </c>
      <c r="D277" s="29">
        <f t="shared" ref="D277:D334" si="8">C277/C276-1</f>
        <v>2.5418707200641322E-2</v>
      </c>
      <c r="F277" s="255">
        <v>13545.209961</v>
      </c>
      <c r="G277" s="29">
        <f t="shared" ref="G277:G334" si="9">F277/F276-1</f>
        <v>2.8348450455164098E-2</v>
      </c>
      <c r="L277" s="84" t="s">
        <v>382</v>
      </c>
      <c r="M277" s="84">
        <v>0.66531035278661643</v>
      </c>
    </row>
    <row r="278" spans="2:17" x14ac:dyDescent="0.25">
      <c r="B278" s="251">
        <v>43800</v>
      </c>
      <c r="C278" s="255">
        <v>122.638901</v>
      </c>
      <c r="D278" s="29">
        <f t="shared" si="8"/>
        <v>-1.4417091960941097E-2</v>
      </c>
      <c r="F278" s="255">
        <v>13913.030273</v>
      </c>
      <c r="G278" s="29">
        <f t="shared" si="9"/>
        <v>2.7155010004204172E-2</v>
      </c>
      <c r="L278" s="84" t="s">
        <v>383</v>
      </c>
      <c r="M278" s="84">
        <v>0.44263786552505202</v>
      </c>
    </row>
    <row r="279" spans="2:17" x14ac:dyDescent="0.25">
      <c r="B279" s="251">
        <v>43831</v>
      </c>
      <c r="C279" s="255">
        <v>119.691681</v>
      </c>
      <c r="D279" s="29">
        <f t="shared" si="8"/>
        <v>-2.403168958599855E-2</v>
      </c>
      <c r="F279" s="255">
        <v>13614.099609000001</v>
      </c>
      <c r="G279" s="29">
        <f t="shared" si="9"/>
        <v>-2.1485661867645889E-2</v>
      </c>
      <c r="L279" s="84" t="s">
        <v>384</v>
      </c>
      <c r="M279" s="84">
        <v>0.43285958246408801</v>
      </c>
    </row>
    <row r="280" spans="2:17" x14ac:dyDescent="0.25">
      <c r="B280" s="251">
        <v>43862</v>
      </c>
      <c r="C280" s="255">
        <v>113.101631</v>
      </c>
      <c r="D280" s="29">
        <f t="shared" si="8"/>
        <v>-5.5058546633662941E-2</v>
      </c>
      <c r="F280" s="255">
        <v>12380.969727</v>
      </c>
      <c r="G280" s="29">
        <f t="shared" si="9"/>
        <v>-9.0577409995208469E-2</v>
      </c>
      <c r="L280" s="84" t="s">
        <v>385</v>
      </c>
      <c r="M280" s="84">
        <v>6.922848253776083E-2</v>
      </c>
    </row>
    <row r="281" spans="2:17" ht="15.75" thickBot="1" x14ac:dyDescent="0.3">
      <c r="B281" s="251">
        <v>43891</v>
      </c>
      <c r="C281" s="255">
        <v>101.13887800000001</v>
      </c>
      <c r="D281" s="29">
        <f t="shared" si="8"/>
        <v>-0.10576994243345605</v>
      </c>
      <c r="F281" s="255">
        <v>10301.870117</v>
      </c>
      <c r="G281" s="29">
        <f t="shared" si="9"/>
        <v>-0.16792704092200217</v>
      </c>
      <c r="L281" s="257" t="s">
        <v>386</v>
      </c>
      <c r="M281" s="257">
        <v>59</v>
      </c>
    </row>
    <row r="282" spans="2:17" x14ac:dyDescent="0.25">
      <c r="B282" s="251">
        <v>43922</v>
      </c>
      <c r="C282" s="255">
        <v>108.49775700000001</v>
      </c>
      <c r="D282" s="29">
        <f t="shared" si="8"/>
        <v>7.2760140764069003E-2</v>
      </c>
      <c r="F282" s="255">
        <v>11372.339844</v>
      </c>
      <c r="G282" s="29">
        <f t="shared" si="9"/>
        <v>0.10391023327245463</v>
      </c>
    </row>
    <row r="283" spans="2:17" ht="15.75" thickBot="1" x14ac:dyDescent="0.3">
      <c r="B283" s="251">
        <v>43952</v>
      </c>
      <c r="C283" s="255">
        <v>117.247871</v>
      </c>
      <c r="D283" s="29">
        <f t="shared" si="8"/>
        <v>8.0647879199935879E-2</v>
      </c>
      <c r="F283" s="255">
        <v>11802.950194999999</v>
      </c>
      <c r="G283" s="29">
        <f t="shared" si="9"/>
        <v>3.7864710069070551E-2</v>
      </c>
      <c r="L283" s="3" t="s">
        <v>387</v>
      </c>
    </row>
    <row r="284" spans="2:17" x14ac:dyDescent="0.25">
      <c r="B284" s="251">
        <v>43983</v>
      </c>
      <c r="C284" s="255">
        <v>129.98963900000001</v>
      </c>
      <c r="D284" s="29">
        <f t="shared" si="8"/>
        <v>0.10867376858382372</v>
      </c>
      <c r="F284" s="255">
        <v>11893.780273</v>
      </c>
      <c r="G284" s="29">
        <f t="shared" si="9"/>
        <v>7.6955402250598048E-3</v>
      </c>
      <c r="L284" s="258"/>
      <c r="M284" s="258" t="s">
        <v>392</v>
      </c>
      <c r="N284" s="258" t="s">
        <v>393</v>
      </c>
      <c r="O284" s="258" t="s">
        <v>394</v>
      </c>
      <c r="P284" s="258" t="s">
        <v>395</v>
      </c>
      <c r="Q284" s="258" t="s">
        <v>396</v>
      </c>
    </row>
    <row r="285" spans="2:17" x14ac:dyDescent="0.25">
      <c r="B285" s="251">
        <v>44013</v>
      </c>
      <c r="C285" s="255">
        <v>147.835373</v>
      </c>
      <c r="D285" s="29">
        <f t="shared" si="8"/>
        <v>0.13728581860281941</v>
      </c>
      <c r="F285" s="255">
        <v>12465.049805000001</v>
      </c>
      <c r="G285" s="29">
        <f t="shared" si="9"/>
        <v>4.803094717470402E-2</v>
      </c>
      <c r="L285" s="84" t="s">
        <v>388</v>
      </c>
      <c r="M285" s="84">
        <v>1</v>
      </c>
      <c r="N285" s="84">
        <v>0.21694796573950331</v>
      </c>
      <c r="O285" s="84">
        <v>0.21694796573950331</v>
      </c>
      <c r="P285" s="84">
        <v>45.267442429858868</v>
      </c>
      <c r="Q285" s="84">
        <v>9.0189624283948729E-9</v>
      </c>
    </row>
    <row r="286" spans="2:17" x14ac:dyDescent="0.25">
      <c r="B286" s="251">
        <v>44044</v>
      </c>
      <c r="C286" s="255">
        <v>153.582764</v>
      </c>
      <c r="D286" s="29">
        <f t="shared" si="8"/>
        <v>3.8876967557689879E-2</v>
      </c>
      <c r="F286" s="255">
        <v>13045.599609000001</v>
      </c>
      <c r="G286" s="29">
        <f t="shared" si="9"/>
        <v>4.657420652800992E-2</v>
      </c>
      <c r="L286" s="84" t="s">
        <v>389</v>
      </c>
      <c r="M286" s="84">
        <v>57</v>
      </c>
      <c r="N286" s="84">
        <v>0.27317721928542016</v>
      </c>
      <c r="O286" s="84">
        <v>4.7925827944810557E-3</v>
      </c>
      <c r="P286" s="84"/>
      <c r="Q286" s="84"/>
    </row>
    <row r="287" spans="2:17" ht="15.75" thickBot="1" x14ac:dyDescent="0.3">
      <c r="B287" s="251">
        <v>44075</v>
      </c>
      <c r="C287" s="255">
        <v>144.66920500000001</v>
      </c>
      <c r="D287" s="29">
        <f t="shared" si="8"/>
        <v>-5.8037495665854699E-2</v>
      </c>
      <c r="F287" s="255">
        <v>12701.889648</v>
      </c>
      <c r="G287" s="29">
        <f t="shared" si="9"/>
        <v>-2.6346812051695867E-2</v>
      </c>
      <c r="L287" s="257" t="s">
        <v>390</v>
      </c>
      <c r="M287" s="257">
        <v>58</v>
      </c>
      <c r="N287" s="257">
        <v>0.49012518502492347</v>
      </c>
      <c r="O287" s="257"/>
      <c r="P287" s="257"/>
      <c r="Q287" s="257"/>
    </row>
    <row r="288" spans="2:17" ht="15.75" thickBot="1" x14ac:dyDescent="0.3">
      <c r="B288" s="251">
        <v>44105</v>
      </c>
      <c r="C288" s="255">
        <v>99.191390999999996</v>
      </c>
      <c r="D288" s="29">
        <f t="shared" si="8"/>
        <v>-0.3143572538468018</v>
      </c>
      <c r="F288" s="255">
        <v>12429.330078000001</v>
      </c>
      <c r="G288" s="29">
        <f t="shared" si="9"/>
        <v>-2.1458190675032074E-2</v>
      </c>
    </row>
    <row r="289" spans="2:20" x14ac:dyDescent="0.25">
      <c r="B289" s="251">
        <v>44136</v>
      </c>
      <c r="C289" s="255">
        <v>112.496758</v>
      </c>
      <c r="D289" s="29">
        <f t="shared" si="8"/>
        <v>0.13413832456488084</v>
      </c>
      <c r="F289" s="255">
        <v>14006.459961</v>
      </c>
      <c r="G289" s="29">
        <f t="shared" si="9"/>
        <v>0.12688776250230327</v>
      </c>
      <c r="L289" s="258"/>
      <c r="M289" s="258" t="s">
        <v>397</v>
      </c>
      <c r="N289" s="258" t="s">
        <v>385</v>
      </c>
      <c r="O289" s="258" t="s">
        <v>398</v>
      </c>
      <c r="P289" s="258" t="s">
        <v>399</v>
      </c>
      <c r="Q289" s="258" t="s">
        <v>400</v>
      </c>
      <c r="R289" s="258" t="s">
        <v>401</v>
      </c>
      <c r="S289" s="258" t="s">
        <v>402</v>
      </c>
      <c r="T289" s="258" t="s">
        <v>403</v>
      </c>
    </row>
    <row r="290" spans="2:20" x14ac:dyDescent="0.25">
      <c r="B290" s="251">
        <v>44166</v>
      </c>
      <c r="C290" s="255">
        <v>121.066788</v>
      </c>
      <c r="D290" s="29">
        <f t="shared" si="8"/>
        <v>7.6180239789665816E-2</v>
      </c>
      <c r="F290" s="255">
        <v>14524.799805000001</v>
      </c>
      <c r="G290" s="29">
        <f t="shared" si="9"/>
        <v>3.7007198495785598E-2</v>
      </c>
      <c r="L290" s="84" t="s">
        <v>391</v>
      </c>
      <c r="M290" s="84">
        <v>6.2473918195623708E-3</v>
      </c>
      <c r="N290" s="84">
        <v>9.110751689494245E-3</v>
      </c>
      <c r="O290" s="84">
        <v>0.68571639667957796</v>
      </c>
      <c r="P290" s="84">
        <v>0.49567158919745302</v>
      </c>
      <c r="Q290" s="84">
        <v>-1.1996573746827034E-2</v>
      </c>
      <c r="R290" s="84">
        <v>2.4491357385951776E-2</v>
      </c>
      <c r="S290" s="84">
        <v>-1.1996573746827034E-2</v>
      </c>
      <c r="T290" s="84">
        <v>2.4491357385951776E-2</v>
      </c>
    </row>
    <row r="291" spans="2:20" ht="15.75" thickBot="1" x14ac:dyDescent="0.3">
      <c r="B291" s="251">
        <v>44197</v>
      </c>
      <c r="C291" s="255">
        <v>117.176376</v>
      </c>
      <c r="D291" s="29">
        <f t="shared" si="8"/>
        <v>-3.2134428147214011E-2</v>
      </c>
      <c r="F291" s="255">
        <v>14397.200194999999</v>
      </c>
      <c r="G291" s="29">
        <f t="shared" si="9"/>
        <v>-8.7849479313357737E-3</v>
      </c>
      <c r="L291" s="257" t="s">
        <v>404</v>
      </c>
      <c r="M291" s="257">
        <v>1.1769903549160372</v>
      </c>
      <c r="N291" s="257">
        <v>0.17493629527073554</v>
      </c>
      <c r="O291" s="257">
        <v>6.7281083842235203</v>
      </c>
      <c r="P291" s="257">
        <v>9.0189624283949391E-9</v>
      </c>
      <c r="Q291" s="257">
        <v>0.82668646606005658</v>
      </c>
      <c r="R291" s="257">
        <v>1.5272942437720178</v>
      </c>
      <c r="S291" s="257">
        <v>0.82668646606005658</v>
      </c>
      <c r="T291" s="257">
        <v>1.5272942437720178</v>
      </c>
    </row>
    <row r="292" spans="2:20" x14ac:dyDescent="0.25">
      <c r="B292" s="251">
        <v>44228</v>
      </c>
      <c r="C292" s="255">
        <v>114.530159</v>
      </c>
      <c r="D292" s="29">
        <f t="shared" si="8"/>
        <v>-2.2583195438643733E-2</v>
      </c>
      <c r="F292" s="255">
        <v>15010.469727</v>
      </c>
      <c r="G292" s="29">
        <f t="shared" si="9"/>
        <v>4.259644400950835E-2</v>
      </c>
    </row>
    <row r="293" spans="2:20" x14ac:dyDescent="0.25">
      <c r="B293" s="251">
        <v>44256</v>
      </c>
      <c r="C293" s="255">
        <v>114.01020800000001</v>
      </c>
      <c r="D293" s="29">
        <f t="shared" si="8"/>
        <v>-4.5398609810712864E-3</v>
      </c>
      <c r="F293" s="255">
        <v>15601.740234000001</v>
      </c>
      <c r="G293" s="29">
        <f t="shared" si="9"/>
        <v>3.9390539920043599E-2</v>
      </c>
    </row>
    <row r="294" spans="2:20" x14ac:dyDescent="0.25">
      <c r="B294" s="251">
        <v>44287</v>
      </c>
      <c r="C294" s="255">
        <v>129.93394499999999</v>
      </c>
      <c r="D294" s="29">
        <f t="shared" si="8"/>
        <v>0.13966939697189207</v>
      </c>
      <c r="F294" s="255">
        <v>16219.330078000001</v>
      </c>
      <c r="G294" s="29">
        <f t="shared" si="9"/>
        <v>3.958467675638655E-2</v>
      </c>
    </row>
    <row r="295" spans="2:20" x14ac:dyDescent="0.25">
      <c r="B295" s="251">
        <v>44317</v>
      </c>
      <c r="C295" s="255">
        <v>129.92463699999999</v>
      </c>
      <c r="D295" s="29">
        <f t="shared" si="8"/>
        <v>-7.1636399556762598E-5</v>
      </c>
      <c r="F295" s="255">
        <v>16555.660156000002</v>
      </c>
      <c r="G295" s="29">
        <f t="shared" si="9"/>
        <v>2.0736372981039475E-2</v>
      </c>
    </row>
    <row r="296" spans="2:20" x14ac:dyDescent="0.25">
      <c r="B296" s="251">
        <v>44348</v>
      </c>
      <c r="C296" s="255">
        <v>132.558243</v>
      </c>
      <c r="D296" s="29">
        <f t="shared" si="8"/>
        <v>2.0270258673110719E-2</v>
      </c>
      <c r="F296" s="255">
        <v>16555.349609000001</v>
      </c>
      <c r="G296" s="29">
        <f t="shared" si="9"/>
        <v>-1.8757753968978719E-5</v>
      </c>
    </row>
    <row r="297" spans="2:20" x14ac:dyDescent="0.25">
      <c r="B297" s="251">
        <v>44378</v>
      </c>
      <c r="C297" s="255">
        <v>135.63484199999999</v>
      </c>
      <c r="D297" s="29">
        <f t="shared" si="8"/>
        <v>2.3209412937073903E-2</v>
      </c>
      <c r="F297" s="255">
        <v>16602.289063</v>
      </c>
      <c r="G297" s="29">
        <f t="shared" si="9"/>
        <v>2.8353043039623937E-3</v>
      </c>
    </row>
    <row r="298" spans="2:20" x14ac:dyDescent="0.25">
      <c r="B298" s="251">
        <v>44409</v>
      </c>
      <c r="C298" s="255">
        <v>141.69366500000001</v>
      </c>
      <c r="D298" s="29">
        <f t="shared" si="8"/>
        <v>4.467010769990809E-2</v>
      </c>
      <c r="F298" s="255">
        <v>16806.439452999999</v>
      </c>
      <c r="G298" s="29">
        <f t="shared" si="9"/>
        <v>1.2296520631903007E-2</v>
      </c>
    </row>
    <row r="299" spans="2:20" x14ac:dyDescent="0.25">
      <c r="B299" s="251">
        <v>44440</v>
      </c>
      <c r="C299" s="255">
        <v>127.443138</v>
      </c>
      <c r="D299" s="29">
        <f t="shared" si="8"/>
        <v>-0.10057278848705065</v>
      </c>
      <c r="F299" s="255">
        <v>16144.919921999999</v>
      </c>
      <c r="G299" s="29">
        <f t="shared" si="9"/>
        <v>-3.936107542885392E-2</v>
      </c>
    </row>
    <row r="300" spans="2:20" x14ac:dyDescent="0.25">
      <c r="B300" s="251">
        <v>44470</v>
      </c>
      <c r="C300" s="255">
        <v>136.63520800000001</v>
      </c>
      <c r="D300" s="29">
        <f t="shared" si="8"/>
        <v>7.212683353732241E-2</v>
      </c>
      <c r="F300" s="255">
        <v>17016.410156000002</v>
      </c>
      <c r="G300" s="29">
        <f t="shared" si="9"/>
        <v>5.3979223075145688E-2</v>
      </c>
    </row>
    <row r="301" spans="2:20" x14ac:dyDescent="0.25">
      <c r="B301" s="251">
        <v>44501</v>
      </c>
      <c r="C301" s="255">
        <v>121.214439</v>
      </c>
      <c r="D301" s="29">
        <f t="shared" si="8"/>
        <v>-0.11286087404353351</v>
      </c>
      <c r="F301" s="255">
        <v>16318.969727</v>
      </c>
      <c r="G301" s="29">
        <f t="shared" si="9"/>
        <v>-4.0986343335999376E-2</v>
      </c>
    </row>
    <row r="302" spans="2:20" x14ac:dyDescent="0.25">
      <c r="B302" s="251">
        <v>44531</v>
      </c>
      <c r="C302" s="255">
        <v>132.22792100000001</v>
      </c>
      <c r="D302" s="29">
        <f t="shared" si="8"/>
        <v>9.0859489107564251E-2</v>
      </c>
      <c r="F302" s="255">
        <v>17164.130859000001</v>
      </c>
      <c r="G302" s="29">
        <f t="shared" si="9"/>
        <v>5.179010355057323E-2</v>
      </c>
    </row>
    <row r="303" spans="2:20" x14ac:dyDescent="0.25">
      <c r="B303" s="251">
        <v>44562</v>
      </c>
      <c r="C303" s="255">
        <v>118.166138</v>
      </c>
      <c r="D303" s="29">
        <f t="shared" si="8"/>
        <v>-0.10634503585668575</v>
      </c>
      <c r="F303" s="255">
        <v>16659.769531000002</v>
      </c>
      <c r="G303" s="29">
        <f t="shared" si="9"/>
        <v>-2.9384612139305433E-2</v>
      </c>
    </row>
    <row r="304" spans="2:20" x14ac:dyDescent="0.25">
      <c r="B304" s="251">
        <v>44593</v>
      </c>
      <c r="C304" s="255">
        <v>106.246658</v>
      </c>
      <c r="D304" s="29">
        <f t="shared" si="8"/>
        <v>-0.10087052180718648</v>
      </c>
      <c r="F304" s="255">
        <v>16313.889648</v>
      </c>
      <c r="G304" s="29">
        <f t="shared" si="9"/>
        <v>-2.0761384625183399E-2</v>
      </c>
    </row>
    <row r="305" spans="2:7" x14ac:dyDescent="0.25">
      <c r="B305" s="251">
        <v>44621</v>
      </c>
      <c r="C305" s="255">
        <v>104.717789</v>
      </c>
      <c r="D305" s="29">
        <f t="shared" si="8"/>
        <v>-1.4389807912828623E-2</v>
      </c>
      <c r="F305" s="255">
        <v>16670.910156000002</v>
      </c>
      <c r="G305" s="29">
        <f t="shared" si="9"/>
        <v>2.1884450348955919E-2</v>
      </c>
    </row>
    <row r="306" spans="2:7" x14ac:dyDescent="0.25">
      <c r="B306" s="251">
        <v>44652</v>
      </c>
      <c r="C306" s="255">
        <v>95.129363999999995</v>
      </c>
      <c r="D306" s="29">
        <f t="shared" si="8"/>
        <v>-9.1564433240659771E-2</v>
      </c>
      <c r="F306" s="255">
        <v>15615.25</v>
      </c>
      <c r="G306" s="29">
        <f t="shared" si="9"/>
        <v>-6.3323486607602009E-2</v>
      </c>
    </row>
    <row r="307" spans="2:7" x14ac:dyDescent="0.25">
      <c r="B307" s="251">
        <v>44682</v>
      </c>
      <c r="C307" s="255">
        <v>94.223358000000005</v>
      </c>
      <c r="D307" s="29">
        <f t="shared" si="8"/>
        <v>-9.5239362685111129E-3</v>
      </c>
      <c r="F307" s="255">
        <v>15827.049805000001</v>
      </c>
      <c r="G307" s="29">
        <f t="shared" si="9"/>
        <v>1.3563651238372776E-2</v>
      </c>
    </row>
    <row r="308" spans="2:7" x14ac:dyDescent="0.25">
      <c r="B308" s="251">
        <v>44713</v>
      </c>
      <c r="C308" s="255">
        <v>88.130661000000003</v>
      </c>
      <c r="D308" s="29">
        <f t="shared" si="8"/>
        <v>-6.4662278328055378E-2</v>
      </c>
      <c r="F308" s="255">
        <v>14487.639648</v>
      </c>
      <c r="G308" s="29">
        <f t="shared" si="9"/>
        <v>-8.4627910665755368E-2</v>
      </c>
    </row>
    <row r="309" spans="2:7" x14ac:dyDescent="0.25">
      <c r="B309" s="251">
        <v>44743</v>
      </c>
      <c r="C309" s="255">
        <v>90.549591000000007</v>
      </c>
      <c r="D309" s="29">
        <f t="shared" si="8"/>
        <v>2.7447087909620915E-2</v>
      </c>
      <c r="F309" s="255">
        <v>15327.709961</v>
      </c>
      <c r="G309" s="29">
        <f t="shared" si="9"/>
        <v>5.7985312543024969E-2</v>
      </c>
    </row>
    <row r="310" spans="2:7" x14ac:dyDescent="0.25">
      <c r="B310" s="251">
        <v>44774</v>
      </c>
      <c r="C310" s="255">
        <v>82.787636000000006</v>
      </c>
      <c r="D310" s="29">
        <f t="shared" si="8"/>
        <v>-8.5720486578453992E-2</v>
      </c>
      <c r="F310" s="255">
        <v>14801.240234000001</v>
      </c>
      <c r="G310" s="29">
        <f t="shared" si="9"/>
        <v>-3.4347578884227015E-2</v>
      </c>
    </row>
    <row r="311" spans="2:7" x14ac:dyDescent="0.25">
      <c r="B311" s="251">
        <v>44805</v>
      </c>
      <c r="C311" s="255">
        <v>78.930954</v>
      </c>
      <c r="D311" s="29">
        <f t="shared" si="8"/>
        <v>-4.6585241303423675E-2</v>
      </c>
      <c r="F311" s="255">
        <v>13472.179688</v>
      </c>
      <c r="G311" s="29">
        <f t="shared" si="9"/>
        <v>-8.9793863553880415E-2</v>
      </c>
    </row>
    <row r="312" spans="2:7" x14ac:dyDescent="0.25">
      <c r="B312" s="251">
        <v>44835</v>
      </c>
      <c r="C312" s="255">
        <v>93.318245000000005</v>
      </c>
      <c r="D312" s="29">
        <f t="shared" si="8"/>
        <v>0.18227691762093756</v>
      </c>
      <c r="F312" s="255">
        <v>14747.030273</v>
      </c>
      <c r="G312" s="29">
        <f t="shared" si="9"/>
        <v>9.4628383418574824E-2</v>
      </c>
    </row>
    <row r="313" spans="2:7" x14ac:dyDescent="0.25">
      <c r="B313" s="251">
        <v>44866</v>
      </c>
      <c r="C313" s="255">
        <v>107.705544</v>
      </c>
      <c r="D313" s="29">
        <f t="shared" si="8"/>
        <v>0.15417455611172293</v>
      </c>
      <c r="F313" s="255">
        <v>15780.019531</v>
      </c>
      <c r="G313" s="29">
        <f t="shared" si="9"/>
        <v>7.0047273171417901E-2</v>
      </c>
    </row>
    <row r="314" spans="2:7" x14ac:dyDescent="0.25">
      <c r="B314" s="251">
        <v>44896</v>
      </c>
      <c r="C314" s="255">
        <v>100.244743</v>
      </c>
      <c r="D314" s="29">
        <f t="shared" si="8"/>
        <v>-6.9270352508502331E-2</v>
      </c>
      <c r="F314" s="255">
        <v>15184.309569999999</v>
      </c>
      <c r="G314" s="29">
        <f t="shared" si="9"/>
        <v>-3.7750901374343782E-2</v>
      </c>
    </row>
    <row r="315" spans="2:7" x14ac:dyDescent="0.25">
      <c r="B315" s="251">
        <v>44927</v>
      </c>
      <c r="C315" s="255">
        <v>115.146896</v>
      </c>
      <c r="D315" s="29">
        <f t="shared" si="8"/>
        <v>0.14865770068361583</v>
      </c>
      <c r="F315" s="255">
        <v>16036.389648</v>
      </c>
      <c r="G315" s="29">
        <f t="shared" si="9"/>
        <v>5.6115826279218961E-2</v>
      </c>
    </row>
    <row r="316" spans="2:7" x14ac:dyDescent="0.25">
      <c r="B316" s="251">
        <v>44958</v>
      </c>
      <c r="C316" s="255">
        <v>110.571342</v>
      </c>
      <c r="D316" s="29">
        <f t="shared" si="8"/>
        <v>-3.9736668194685798E-2</v>
      </c>
      <c r="F316" s="255">
        <v>15428.969727</v>
      </c>
      <c r="G316" s="29">
        <f t="shared" si="9"/>
        <v>-3.7877598033779103E-2</v>
      </c>
    </row>
    <row r="317" spans="2:7" x14ac:dyDescent="0.25">
      <c r="B317" s="251">
        <v>44986</v>
      </c>
      <c r="C317" s="255">
        <v>122.937996</v>
      </c>
      <c r="D317" s="29">
        <f t="shared" si="8"/>
        <v>0.11184321159817334</v>
      </c>
      <c r="F317" s="255">
        <v>15374.910156</v>
      </c>
      <c r="G317" s="29">
        <f t="shared" si="9"/>
        <v>-3.5037706312559536E-3</v>
      </c>
    </row>
    <row r="318" spans="2:7" x14ac:dyDescent="0.25">
      <c r="B318" s="251">
        <v>45017</v>
      </c>
      <c r="C318" s="255">
        <v>131.40910299999999</v>
      </c>
      <c r="D318" s="29">
        <f t="shared" si="8"/>
        <v>6.8905523724333229E-2</v>
      </c>
      <c r="F318" s="255">
        <v>15545.879883</v>
      </c>
      <c r="G318" s="29">
        <f t="shared" si="9"/>
        <v>1.1120047224034035E-2</v>
      </c>
    </row>
    <row r="319" spans="2:7" x14ac:dyDescent="0.25">
      <c r="B319" s="251">
        <v>45047</v>
      </c>
      <c r="C319" s="255">
        <v>126.716965</v>
      </c>
      <c r="D319" s="29">
        <f t="shared" si="8"/>
        <v>-3.5706339156732492E-2</v>
      </c>
      <c r="F319" s="255">
        <v>14887.139648</v>
      </c>
      <c r="G319" s="29">
        <f t="shared" si="9"/>
        <v>-4.2373943447250983E-2</v>
      </c>
    </row>
    <row r="320" spans="2:7" x14ac:dyDescent="0.25">
      <c r="B320" s="251">
        <v>45078</v>
      </c>
      <c r="C320" s="255">
        <v>135.114441</v>
      </c>
      <c r="D320" s="29">
        <f t="shared" si="8"/>
        <v>6.6269548043547344E-2</v>
      </c>
      <c r="F320" s="255">
        <v>15875.910156</v>
      </c>
      <c r="G320" s="29">
        <f t="shared" si="9"/>
        <v>6.6417762671611369E-2</v>
      </c>
    </row>
    <row r="321" spans="2:7" x14ac:dyDescent="0.25">
      <c r="B321" s="251">
        <v>45108</v>
      </c>
      <c r="C321" s="255">
        <v>134.660156</v>
      </c>
      <c r="D321" s="29">
        <f t="shared" si="8"/>
        <v>-3.3622238795333326E-3</v>
      </c>
      <c r="F321" s="255">
        <v>16427.289063</v>
      </c>
      <c r="G321" s="29">
        <f t="shared" si="9"/>
        <v>3.4730538380605358E-2</v>
      </c>
    </row>
    <row r="322" spans="2:7" x14ac:dyDescent="0.25">
      <c r="B322" s="251">
        <v>45139</v>
      </c>
      <c r="C322" s="255">
        <v>137.958755</v>
      </c>
      <c r="D322" s="29">
        <f t="shared" si="8"/>
        <v>2.449573131342575E-2</v>
      </c>
      <c r="F322" s="255">
        <v>16000.370117</v>
      </c>
      <c r="G322" s="29">
        <f t="shared" si="9"/>
        <v>-2.5988399203467516E-2</v>
      </c>
    </row>
    <row r="323" spans="2:7" x14ac:dyDescent="0.25">
      <c r="B323" s="251">
        <v>45170</v>
      </c>
      <c r="C323" s="255">
        <v>127.717285</v>
      </c>
      <c r="D323" s="29">
        <f t="shared" si="8"/>
        <v>-7.4235738065336898E-2</v>
      </c>
      <c r="F323" s="255">
        <v>15398.209961</v>
      </c>
      <c r="G323" s="29">
        <f t="shared" si="9"/>
        <v>-3.763413918533165E-2</v>
      </c>
    </row>
    <row r="324" spans="2:7" x14ac:dyDescent="0.25">
      <c r="B324" s="251">
        <v>45200</v>
      </c>
      <c r="C324" s="255">
        <v>132.339279</v>
      </c>
      <c r="D324" s="29">
        <f t="shared" si="8"/>
        <v>3.6189259738805157E-2</v>
      </c>
      <c r="F324" s="255">
        <v>14919.200194999999</v>
      </c>
      <c r="G324" s="29">
        <f t="shared" si="9"/>
        <v>-3.1108146155508942E-2</v>
      </c>
    </row>
    <row r="325" spans="2:7" x14ac:dyDescent="0.25">
      <c r="B325" s="251">
        <v>45231</v>
      </c>
      <c r="C325" s="255">
        <v>157.14794900000001</v>
      </c>
      <c r="D325" s="29">
        <f t="shared" si="8"/>
        <v>0.18746263533746466</v>
      </c>
      <c r="F325" s="255">
        <v>16088.839844</v>
      </c>
      <c r="G325" s="29">
        <f t="shared" si="9"/>
        <v>7.8398280987743041E-2</v>
      </c>
    </row>
    <row r="326" spans="2:7" x14ac:dyDescent="0.25">
      <c r="B326" s="251">
        <v>45261</v>
      </c>
      <c r="C326" s="255">
        <v>152.67408800000001</v>
      </c>
      <c r="D326" s="29">
        <f t="shared" si="8"/>
        <v>-2.8469102068904517E-2</v>
      </c>
      <c r="F326" s="255">
        <v>16852.890625</v>
      </c>
      <c r="G326" s="29">
        <f t="shared" si="9"/>
        <v>4.7489488888469378E-2</v>
      </c>
    </row>
    <row r="327" spans="2:7" x14ac:dyDescent="0.25">
      <c r="B327" s="251">
        <v>45292</v>
      </c>
      <c r="C327" s="255">
        <v>170.95469700000001</v>
      </c>
      <c r="D327" s="29">
        <f t="shared" si="8"/>
        <v>0.11973615981252816</v>
      </c>
      <c r="F327" s="255">
        <v>16911.130859000001</v>
      </c>
      <c r="G327" s="29">
        <f t="shared" si="9"/>
        <v>3.4558008650222849E-3</v>
      </c>
    </row>
    <row r="328" spans="2:7" x14ac:dyDescent="0.25">
      <c r="B328" s="251">
        <v>45323</v>
      </c>
      <c r="C328" s="255">
        <v>185.54162600000001</v>
      </c>
      <c r="D328" s="29">
        <f t="shared" si="8"/>
        <v>8.5326283839981309E-2</v>
      </c>
      <c r="F328" s="255">
        <v>17607.429688</v>
      </c>
      <c r="G328" s="29">
        <f t="shared" si="9"/>
        <v>4.1173995683998488E-2</v>
      </c>
    </row>
    <row r="329" spans="2:7" x14ac:dyDescent="0.25">
      <c r="B329" s="251">
        <v>45352</v>
      </c>
      <c r="C329" s="255">
        <v>192.6129</v>
      </c>
      <c r="D329" s="29">
        <f t="shared" si="8"/>
        <v>3.81115232869631E-2</v>
      </c>
      <c r="F329" s="255">
        <v>18312.669922000001</v>
      </c>
      <c r="G329" s="29">
        <f t="shared" si="9"/>
        <v>4.005355957665091E-2</v>
      </c>
    </row>
    <row r="330" spans="2:7" x14ac:dyDescent="0.25">
      <c r="B330" s="251">
        <v>45383</v>
      </c>
      <c r="C330" s="255">
        <v>178.96418800000001</v>
      </c>
      <c r="D330" s="29">
        <f t="shared" si="8"/>
        <v>-7.0860840577136819E-2</v>
      </c>
      <c r="F330" s="255">
        <v>17603.339843999998</v>
      </c>
      <c r="G330" s="29">
        <f t="shared" si="9"/>
        <v>-3.8734388869634206E-2</v>
      </c>
    </row>
    <row r="331" spans="2:7" x14ac:dyDescent="0.25">
      <c r="B331" s="251">
        <v>45413</v>
      </c>
      <c r="C331" s="255">
        <v>180.17894000000001</v>
      </c>
      <c r="D331" s="29">
        <f t="shared" si="8"/>
        <v>6.7876820137893201E-3</v>
      </c>
      <c r="F331" s="255">
        <v>18083.689452999999</v>
      </c>
      <c r="G331" s="29">
        <f t="shared" si="9"/>
        <v>2.7287413255486559E-2</v>
      </c>
    </row>
    <row r="332" spans="2:7" x14ac:dyDescent="0.25">
      <c r="B332" s="251">
        <v>45444</v>
      </c>
      <c r="C332" s="255">
        <v>201.71000699999999</v>
      </c>
      <c r="D332" s="29">
        <f t="shared" si="8"/>
        <v>0.11949824435641587</v>
      </c>
      <c r="F332" s="255">
        <v>18026.5</v>
      </c>
      <c r="G332" s="29">
        <f t="shared" si="9"/>
        <v>-3.162488116633333E-3</v>
      </c>
    </row>
    <row r="333" spans="2:7" x14ac:dyDescent="0.25">
      <c r="B333" s="251">
        <v>45474</v>
      </c>
      <c r="C333" s="255">
        <v>211.60000600000001</v>
      </c>
      <c r="D333" s="29">
        <f t="shared" si="8"/>
        <v>4.9030780113948458E-2</v>
      </c>
      <c r="F333" s="255">
        <v>18710.009765999999</v>
      </c>
      <c r="G333" s="29">
        <f t="shared" si="9"/>
        <v>3.7916942612265192E-2</v>
      </c>
    </row>
    <row r="334" spans="2:7" x14ac:dyDescent="0.25">
      <c r="B334" s="251">
        <v>45505</v>
      </c>
      <c r="C334" s="255">
        <v>204.720001</v>
      </c>
      <c r="D334" s="29">
        <f t="shared" si="8"/>
        <v>-3.251420040129871E-2</v>
      </c>
      <c r="F334" s="255">
        <v>18802.240234000001</v>
      </c>
      <c r="G334" s="29">
        <f t="shared" si="9"/>
        <v>4.9294719325909675E-3</v>
      </c>
    </row>
  </sheetData>
  <mergeCells count="10">
    <mergeCell ref="B4:D4"/>
    <mergeCell ref="F4:G4"/>
    <mergeCell ref="B272:D272"/>
    <mergeCell ref="F272:G272"/>
    <mergeCell ref="B71:D71"/>
    <mergeCell ref="F71:G71"/>
    <mergeCell ref="B138:D138"/>
    <mergeCell ref="F138:G138"/>
    <mergeCell ref="B205:D205"/>
    <mergeCell ref="F205:G205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4"/>
  <sheetViews>
    <sheetView showGridLines="0" workbookViewId="0"/>
  </sheetViews>
  <sheetFormatPr defaultRowHeight="15" x14ac:dyDescent="0.2"/>
  <cols>
    <col min="1" max="1" width="3" style="3" customWidth="1"/>
    <col min="2" max="2" width="12.33203125" style="3" customWidth="1"/>
    <col min="3" max="3" width="14.5" style="3" bestFit="1" customWidth="1"/>
    <col min="4" max="4" width="17.83203125" style="10" customWidth="1"/>
    <col min="5" max="7" width="9.33203125" style="3"/>
    <col min="8" max="8" width="12.33203125" style="3" customWidth="1"/>
    <col min="9" max="16384" width="9.33203125" style="3"/>
  </cols>
  <sheetData>
    <row r="2" spans="1:10" ht="18.75" x14ac:dyDescent="0.25">
      <c r="A2" s="5" t="s">
        <v>182</v>
      </c>
      <c r="B2" s="261" t="s">
        <v>419</v>
      </c>
      <c r="C2" s="262"/>
      <c r="D2" s="262"/>
      <c r="E2" s="263"/>
      <c r="F2" s="263"/>
      <c r="G2" s="262"/>
      <c r="H2" s="263"/>
      <c r="I2" s="271"/>
      <c r="J2" s="271"/>
    </row>
    <row r="4" spans="1:10" x14ac:dyDescent="0.25">
      <c r="B4" s="252" t="s">
        <v>85</v>
      </c>
      <c r="C4" s="253" t="s">
        <v>376</v>
      </c>
      <c r="D4" s="253" t="s">
        <v>420</v>
      </c>
    </row>
    <row r="5" spans="1:10" x14ac:dyDescent="0.25">
      <c r="B5" s="269">
        <v>31382</v>
      </c>
      <c r="C5" s="255">
        <v>1285.660034</v>
      </c>
    </row>
    <row r="6" spans="1:10" x14ac:dyDescent="0.25">
      <c r="B6" s="269">
        <v>31747</v>
      </c>
      <c r="C6" s="255">
        <v>1465.3100589999999</v>
      </c>
      <c r="D6" s="29">
        <f>C6/C5-1</f>
        <v>0.13973369339409669</v>
      </c>
      <c r="F6" s="259" t="s">
        <v>421</v>
      </c>
      <c r="G6" s="259"/>
      <c r="H6" s="270">
        <f>AVERAGE(D6:D43)</f>
        <v>8.1936740929589483E-2</v>
      </c>
    </row>
    <row r="7" spans="1:10" x14ac:dyDescent="0.25">
      <c r="B7" s="269">
        <v>32112</v>
      </c>
      <c r="C7" s="255">
        <v>1461.6099850000001</v>
      </c>
      <c r="D7" s="29">
        <f t="shared" ref="D7:D43" si="0">C7/C6-1</f>
        <v>-2.5251133555480587E-3</v>
      </c>
    </row>
    <row r="8" spans="1:10" x14ac:dyDescent="0.25">
      <c r="B8" s="269">
        <v>32478</v>
      </c>
      <c r="C8" s="255">
        <v>1652.25</v>
      </c>
      <c r="D8" s="29">
        <f t="shared" si="0"/>
        <v>0.13043152205887543</v>
      </c>
    </row>
    <row r="9" spans="1:10" x14ac:dyDescent="0.25">
      <c r="B9" s="269">
        <v>32843</v>
      </c>
      <c r="C9" s="255">
        <v>2062.3000489999999</v>
      </c>
      <c r="D9" s="29">
        <f t="shared" si="0"/>
        <v>0.24817675835981223</v>
      </c>
    </row>
    <row r="10" spans="1:10" x14ac:dyDescent="0.25">
      <c r="B10" s="269">
        <v>33208</v>
      </c>
      <c r="C10" s="255">
        <v>1908.4499510000001</v>
      </c>
      <c r="D10" s="29">
        <f t="shared" si="0"/>
        <v>-7.4601219194365576E-2</v>
      </c>
    </row>
    <row r="11" spans="1:10" x14ac:dyDescent="0.25">
      <c r="B11" s="269">
        <v>33573</v>
      </c>
      <c r="C11" s="255">
        <v>2426.040039</v>
      </c>
      <c r="D11" s="29">
        <f t="shared" si="0"/>
        <v>0.27120967344665781</v>
      </c>
    </row>
    <row r="12" spans="1:10" x14ac:dyDescent="0.25">
      <c r="B12" s="269">
        <v>33939</v>
      </c>
      <c r="C12" s="255">
        <v>2539.919922</v>
      </c>
      <c r="D12" s="29">
        <f t="shared" si="0"/>
        <v>4.694064449444979E-2</v>
      </c>
    </row>
    <row r="13" spans="1:10" x14ac:dyDescent="0.25">
      <c r="B13" s="269">
        <v>34304</v>
      </c>
      <c r="C13" s="255">
        <v>2739.4399410000001</v>
      </c>
      <c r="D13" s="29">
        <f t="shared" si="0"/>
        <v>7.855366512614026E-2</v>
      </c>
    </row>
    <row r="14" spans="1:10" x14ac:dyDescent="0.25">
      <c r="B14" s="269">
        <v>34669</v>
      </c>
      <c r="C14" s="255">
        <v>2653.3701169999999</v>
      </c>
      <c r="D14" s="29">
        <f t="shared" si="0"/>
        <v>-3.1418766555831645E-2</v>
      </c>
    </row>
    <row r="15" spans="1:10" x14ac:dyDescent="0.25">
      <c r="B15" s="269">
        <v>35034</v>
      </c>
      <c r="C15" s="255">
        <v>3484.1499020000001</v>
      </c>
      <c r="D15" s="29">
        <f t="shared" si="0"/>
        <v>0.31310361855560176</v>
      </c>
    </row>
    <row r="16" spans="1:10" x14ac:dyDescent="0.25">
      <c r="B16" s="269">
        <v>35400</v>
      </c>
      <c r="C16" s="255">
        <v>4148.0698240000002</v>
      </c>
      <c r="D16" s="29">
        <f t="shared" si="0"/>
        <v>0.19055435060899395</v>
      </c>
    </row>
    <row r="17" spans="2:4" x14ac:dyDescent="0.25">
      <c r="B17" s="269">
        <v>35765</v>
      </c>
      <c r="C17" s="255">
        <v>5405.1899409999996</v>
      </c>
      <c r="D17" s="29">
        <f t="shared" si="0"/>
        <v>0.30306146481106078</v>
      </c>
    </row>
    <row r="18" spans="2:4" x14ac:dyDescent="0.25">
      <c r="B18" s="269">
        <v>36130</v>
      </c>
      <c r="C18" s="255">
        <v>6299.9301759999998</v>
      </c>
      <c r="D18" s="29">
        <f t="shared" si="0"/>
        <v>0.16553354179343915</v>
      </c>
    </row>
    <row r="19" spans="2:4" x14ac:dyDescent="0.25">
      <c r="B19" s="269">
        <v>36495</v>
      </c>
      <c r="C19" s="255">
        <v>6876.1000979999999</v>
      </c>
      <c r="D19" s="29">
        <f t="shared" si="0"/>
        <v>9.1456556803590772E-2</v>
      </c>
    </row>
    <row r="20" spans="2:4" x14ac:dyDescent="0.25">
      <c r="B20" s="269">
        <v>36861</v>
      </c>
      <c r="C20" s="255">
        <v>6945.5698240000002</v>
      </c>
      <c r="D20" s="29">
        <f t="shared" si="0"/>
        <v>1.0103070782842005E-2</v>
      </c>
    </row>
    <row r="21" spans="2:4" x14ac:dyDescent="0.25">
      <c r="B21" s="269">
        <v>37226</v>
      </c>
      <c r="C21" s="255">
        <v>6236.3901370000003</v>
      </c>
      <c r="D21" s="29">
        <f t="shared" si="0"/>
        <v>-0.10210532828414909</v>
      </c>
    </row>
    <row r="22" spans="2:4" x14ac:dyDescent="0.25">
      <c r="B22" s="269">
        <v>37591</v>
      </c>
      <c r="C22" s="255">
        <v>5000</v>
      </c>
      <c r="D22" s="29">
        <f t="shared" si="0"/>
        <v>-0.19825413578034468</v>
      </c>
    </row>
    <row r="23" spans="2:4" x14ac:dyDescent="0.25">
      <c r="B23" s="269">
        <v>37956</v>
      </c>
      <c r="C23" s="255">
        <v>6464</v>
      </c>
      <c r="D23" s="29">
        <f t="shared" si="0"/>
        <v>0.29279999999999995</v>
      </c>
    </row>
    <row r="24" spans="2:4" x14ac:dyDescent="0.25">
      <c r="B24" s="269">
        <v>38322</v>
      </c>
      <c r="C24" s="255">
        <v>7250.0600590000004</v>
      </c>
      <c r="D24" s="29">
        <f t="shared" si="0"/>
        <v>0.12160582595915836</v>
      </c>
    </row>
    <row r="25" spans="2:4" x14ac:dyDescent="0.25">
      <c r="B25" s="269">
        <v>38687</v>
      </c>
      <c r="C25" s="255">
        <v>7753.9501950000003</v>
      </c>
      <c r="D25" s="29">
        <f t="shared" si="0"/>
        <v>6.9501511973612651E-2</v>
      </c>
    </row>
    <row r="26" spans="2:4" x14ac:dyDescent="0.25">
      <c r="B26" s="269">
        <v>39052</v>
      </c>
      <c r="C26" s="255">
        <v>9139.0195309999999</v>
      </c>
      <c r="D26" s="29">
        <f t="shared" si="0"/>
        <v>0.17862757706299659</v>
      </c>
    </row>
    <row r="27" spans="2:4" x14ac:dyDescent="0.25">
      <c r="B27" s="269">
        <v>39417</v>
      </c>
      <c r="C27" s="255">
        <v>9740.3203130000002</v>
      </c>
      <c r="D27" s="29">
        <f t="shared" si="0"/>
        <v>6.5794889699092751E-2</v>
      </c>
    </row>
    <row r="28" spans="2:4" x14ac:dyDescent="0.25">
      <c r="B28" s="269">
        <v>39783</v>
      </c>
      <c r="C28" s="255">
        <v>5757.0498049999997</v>
      </c>
      <c r="D28" s="29">
        <f t="shared" si="0"/>
        <v>-0.40894656233057292</v>
      </c>
    </row>
    <row r="29" spans="2:4" x14ac:dyDescent="0.25">
      <c r="B29" s="269">
        <v>40148</v>
      </c>
      <c r="C29" s="255">
        <v>7184.9599609999996</v>
      </c>
      <c r="D29" s="29">
        <f t="shared" si="0"/>
        <v>0.2480281054299478</v>
      </c>
    </row>
    <row r="30" spans="2:4" x14ac:dyDescent="0.25">
      <c r="B30" s="269">
        <v>40513</v>
      </c>
      <c r="C30" s="255">
        <v>7964.0200199999999</v>
      </c>
      <c r="D30" s="29">
        <f t="shared" si="0"/>
        <v>0.10842928328463097</v>
      </c>
    </row>
    <row r="31" spans="2:4" x14ac:dyDescent="0.25">
      <c r="B31" s="269">
        <v>40878</v>
      </c>
      <c r="C31" s="255">
        <v>7477.0297849999997</v>
      </c>
      <c r="D31" s="29">
        <f t="shared" si="0"/>
        <v>-6.1148795931831423E-2</v>
      </c>
    </row>
    <row r="32" spans="2:4" x14ac:dyDescent="0.25">
      <c r="B32" s="269">
        <v>41244</v>
      </c>
      <c r="C32" s="255">
        <v>8443.5097659999992</v>
      </c>
      <c r="D32" s="29">
        <f t="shared" si="0"/>
        <v>0.12925988110130282</v>
      </c>
    </row>
    <row r="33" spans="2:4" x14ac:dyDescent="0.25">
      <c r="B33" s="269">
        <v>41609</v>
      </c>
      <c r="C33" s="255">
        <v>10400.320313</v>
      </c>
      <c r="D33" s="29">
        <f t="shared" si="0"/>
        <v>0.23175321652135827</v>
      </c>
    </row>
    <row r="34" spans="2:4" x14ac:dyDescent="0.25">
      <c r="B34" s="269">
        <v>41974</v>
      </c>
      <c r="C34" s="255">
        <v>10839.240234000001</v>
      </c>
      <c r="D34" s="29">
        <f t="shared" si="0"/>
        <v>4.2202538747904583E-2</v>
      </c>
    </row>
    <row r="35" spans="2:4" x14ac:dyDescent="0.25">
      <c r="B35" s="269">
        <v>42339</v>
      </c>
      <c r="C35" s="255">
        <v>10143.419921999999</v>
      </c>
      <c r="D35" s="29">
        <f t="shared" si="0"/>
        <v>-6.4194565022868133E-2</v>
      </c>
    </row>
    <row r="36" spans="2:4" x14ac:dyDescent="0.25">
      <c r="B36" s="269">
        <v>42705</v>
      </c>
      <c r="C36" s="255">
        <v>11056.900390999999</v>
      </c>
      <c r="D36" s="29">
        <f t="shared" si="0"/>
        <v>9.0056457883475494E-2</v>
      </c>
    </row>
    <row r="37" spans="2:4" x14ac:dyDescent="0.25">
      <c r="B37" s="269">
        <v>43070</v>
      </c>
      <c r="C37" s="255">
        <v>12808.839844</v>
      </c>
      <c r="D37" s="29">
        <f t="shared" si="0"/>
        <v>0.15844761108873051</v>
      </c>
    </row>
    <row r="38" spans="2:4" x14ac:dyDescent="0.25">
      <c r="B38" s="269">
        <v>43435</v>
      </c>
      <c r="C38" s="255">
        <v>11374.389648</v>
      </c>
      <c r="D38" s="29">
        <f t="shared" si="0"/>
        <v>-0.11198908046866818</v>
      </c>
    </row>
    <row r="39" spans="2:4" x14ac:dyDescent="0.25">
      <c r="B39" s="269">
        <v>43800</v>
      </c>
      <c r="C39" s="255">
        <v>13913.030273</v>
      </c>
      <c r="D39" s="29">
        <f t="shared" si="0"/>
        <v>0.22318917353480838</v>
      </c>
    </row>
    <row r="40" spans="2:4" x14ac:dyDescent="0.25">
      <c r="B40" s="269">
        <v>44166</v>
      </c>
      <c r="C40" s="255">
        <v>14524.799805000001</v>
      </c>
      <c r="D40" s="29">
        <f t="shared" si="0"/>
        <v>4.3970976846590792E-2</v>
      </c>
    </row>
    <row r="41" spans="2:4" x14ac:dyDescent="0.25">
      <c r="B41" s="269">
        <v>44531</v>
      </c>
      <c r="C41" s="255">
        <v>17164.130859000001</v>
      </c>
      <c r="D41" s="29">
        <f t="shared" si="0"/>
        <v>0.18171204350034764</v>
      </c>
    </row>
    <row r="42" spans="2:4" x14ac:dyDescent="0.25">
      <c r="B42" s="269">
        <v>44896</v>
      </c>
      <c r="C42" s="255">
        <v>15184.309569999999</v>
      </c>
      <c r="D42" s="29">
        <f t="shared" si="0"/>
        <v>-0.11534643409933476</v>
      </c>
    </row>
    <row r="43" spans="2:4" x14ac:dyDescent="0.25">
      <c r="B43" s="269">
        <v>45261</v>
      </c>
      <c r="C43" s="255">
        <v>16852.890625</v>
      </c>
      <c r="D43" s="29">
        <f t="shared" si="0"/>
        <v>0.10988850347839696</v>
      </c>
    </row>
    <row r="44" spans="2:4" x14ac:dyDescent="0.25">
      <c r="B44" s="269"/>
      <c r="C44" s="25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66"/>
  <sheetViews>
    <sheetView showGridLines="0" workbookViewId="0"/>
  </sheetViews>
  <sheetFormatPr defaultRowHeight="15" x14ac:dyDescent="0.2"/>
  <cols>
    <col min="1" max="1" width="3" style="3" customWidth="1"/>
    <col min="2" max="4" width="15" style="3" customWidth="1"/>
    <col min="5" max="5" width="16.6640625" style="3" customWidth="1"/>
    <col min="6" max="10" width="17.5" style="3" customWidth="1"/>
    <col min="11" max="16384" width="9.33203125" style="3"/>
  </cols>
  <sheetData>
    <row r="2" spans="1:10" ht="18.75" x14ac:dyDescent="0.2">
      <c r="B2" s="261" t="s">
        <v>444</v>
      </c>
      <c r="C2" s="261"/>
      <c r="D2" s="261"/>
      <c r="E2" s="261"/>
      <c r="F2" s="261"/>
      <c r="G2" s="261"/>
      <c r="H2" s="261"/>
      <c r="I2" s="261"/>
      <c r="J2" s="261"/>
    </row>
    <row r="3" spans="1:10" x14ac:dyDescent="0.2">
      <c r="B3" s="172"/>
      <c r="C3" s="172"/>
      <c r="D3" s="172"/>
      <c r="E3" s="172"/>
      <c r="F3" s="172"/>
      <c r="G3" s="172"/>
      <c r="H3" s="172"/>
      <c r="I3" s="172"/>
      <c r="J3" s="172"/>
    </row>
    <row r="4" spans="1:10" x14ac:dyDescent="0.2">
      <c r="B4" s="228" t="s">
        <v>473</v>
      </c>
    </row>
    <row r="5" spans="1:10" ht="15.75" x14ac:dyDescent="0.25">
      <c r="A5" s="5" t="s">
        <v>182</v>
      </c>
      <c r="B5" s="278" t="s">
        <v>425</v>
      </c>
      <c r="C5" s="262"/>
      <c r="D5" s="262"/>
      <c r="E5" s="263"/>
      <c r="F5" s="4">
        <v>43830</v>
      </c>
      <c r="G5" s="4">
        <v>44196</v>
      </c>
      <c r="H5" s="4">
        <v>44561</v>
      </c>
      <c r="I5" s="4">
        <v>44926</v>
      </c>
      <c r="J5" s="4">
        <v>45291</v>
      </c>
    </row>
    <row r="7" spans="1:10" x14ac:dyDescent="0.2">
      <c r="B7" s="148" t="s">
        <v>426</v>
      </c>
    </row>
    <row r="8" spans="1:10" x14ac:dyDescent="0.2">
      <c r="B8" s="279" t="s">
        <v>187</v>
      </c>
      <c r="C8" s="280"/>
      <c r="D8" s="280"/>
      <c r="E8" s="280"/>
      <c r="F8" s="281">
        <f>'Historical Financial statements'!H67</f>
        <v>1619</v>
      </c>
      <c r="G8" s="281">
        <f>'Historical Financial statements'!I67</f>
        <v>1812</v>
      </c>
      <c r="H8" s="281">
        <f>'Historical Financial statements'!J67</f>
        <v>1649</v>
      </c>
      <c r="I8" s="281">
        <f>'Historical Financial statements'!K67</f>
        <v>1552</v>
      </c>
      <c r="J8" s="281">
        <f>'Historical Financial statements'!L67</f>
        <v>1161</v>
      </c>
    </row>
    <row r="9" spans="1:10" x14ac:dyDescent="0.2">
      <c r="B9" s="282" t="s">
        <v>489</v>
      </c>
      <c r="C9" s="280"/>
      <c r="D9" s="280"/>
      <c r="E9" s="280"/>
      <c r="F9" s="281">
        <f>'Historical Financial statements'!H62</f>
        <v>7870</v>
      </c>
      <c r="G9" s="281">
        <f>'Historical Financial statements'!I62</f>
        <v>5790</v>
      </c>
      <c r="H9" s="281">
        <f>'Historical Financial statements'!J62</f>
        <v>6754</v>
      </c>
      <c r="I9" s="281">
        <f>'Historical Financial statements'!K62</f>
        <v>6541</v>
      </c>
      <c r="J9" s="281">
        <f>'Historical Financial statements'!L62</f>
        <v>7193</v>
      </c>
    </row>
    <row r="10" spans="1:10" ht="15.75" thickBot="1" x14ac:dyDescent="0.25">
      <c r="B10" s="284" t="s">
        <v>189</v>
      </c>
      <c r="C10" s="285"/>
      <c r="D10" s="285"/>
      <c r="E10" s="285"/>
      <c r="F10" s="286">
        <f>'Historical Financial statements'!H69</f>
        <v>2101</v>
      </c>
      <c r="G10" s="286">
        <f>'Historical Financial statements'!I69</f>
        <v>2089</v>
      </c>
      <c r="H10" s="286">
        <f>'Historical Financial statements'!J69</f>
        <v>3157</v>
      </c>
      <c r="I10" s="286">
        <f>'Historical Financial statements'!K69</f>
        <v>2611</v>
      </c>
      <c r="J10" s="286">
        <f>'Historical Financial statements'!L69</f>
        <v>2639</v>
      </c>
    </row>
    <row r="11" spans="1:10" x14ac:dyDescent="0.2">
      <c r="B11" s="287" t="s">
        <v>149</v>
      </c>
      <c r="C11" s="288"/>
      <c r="D11" s="288"/>
      <c r="E11" s="288"/>
      <c r="F11" s="289">
        <f>SUM(F8:F10)</f>
        <v>11590</v>
      </c>
      <c r="G11" s="289">
        <f>SUM(G8:G10)</f>
        <v>9691</v>
      </c>
      <c r="H11" s="289">
        <f>SUM(H8:H10)</f>
        <v>11560</v>
      </c>
      <c r="I11" s="289">
        <f>SUM(I8:I10)</f>
        <v>10704</v>
      </c>
      <c r="J11" s="289">
        <f>SUM(J8:J10)</f>
        <v>10993</v>
      </c>
    </row>
    <row r="13" spans="1:10" x14ac:dyDescent="0.2">
      <c r="B13" s="148" t="s">
        <v>427</v>
      </c>
    </row>
    <row r="14" spans="1:10" x14ac:dyDescent="0.2">
      <c r="B14" s="283" t="s">
        <v>202</v>
      </c>
      <c r="C14" s="280"/>
      <c r="D14" s="280"/>
      <c r="E14" s="280"/>
      <c r="F14" s="281">
        <f>'Historical Financial statements'!H93</f>
        <v>4896</v>
      </c>
      <c r="G14" s="281">
        <f>'Historical Financial statements'!I93</f>
        <v>4033</v>
      </c>
      <c r="H14" s="281">
        <f>'Historical Financial statements'!J93</f>
        <v>3955</v>
      </c>
      <c r="I14" s="281">
        <f>'Historical Financial statements'!K93</f>
        <v>4051</v>
      </c>
      <c r="J14" s="281">
        <f>'Historical Financial statements'!L93</f>
        <v>4132</v>
      </c>
    </row>
    <row r="15" spans="1:10" x14ac:dyDescent="0.2">
      <c r="B15" s="283" t="s">
        <v>203</v>
      </c>
      <c r="C15" s="280"/>
      <c r="D15" s="280"/>
      <c r="E15" s="280"/>
      <c r="F15" s="281">
        <f>'Historical Financial statements'!H94</f>
        <v>3406</v>
      </c>
      <c r="G15" s="281">
        <f>'Historical Financial statements'!I94</f>
        <v>3056</v>
      </c>
      <c r="H15" s="281">
        <f>'Historical Financial statements'!J94</f>
        <v>3204</v>
      </c>
      <c r="I15" s="281">
        <f>'Historical Financial statements'!K94</f>
        <v>3481</v>
      </c>
      <c r="J15" s="281">
        <f>'Historical Financial statements'!L94</f>
        <v>3501</v>
      </c>
    </row>
    <row r="16" spans="1:10" ht="15.75" thickBot="1" x14ac:dyDescent="0.25">
      <c r="B16" s="197" t="s">
        <v>205</v>
      </c>
      <c r="C16" s="285"/>
      <c r="D16" s="285"/>
      <c r="E16" s="285"/>
      <c r="F16" s="286">
        <f>'Historical Financial statements'!H97</f>
        <v>4358</v>
      </c>
      <c r="G16" s="286">
        <f>'Historical Financial statements'!I97</f>
        <v>5632</v>
      </c>
      <c r="H16" s="286">
        <f>'Historical Financial statements'!J97</f>
        <v>3892</v>
      </c>
      <c r="I16" s="286">
        <f>'Historical Financial statements'!K97</f>
        <v>4111</v>
      </c>
      <c r="J16" s="286">
        <f>'Historical Financial statements'!L97</f>
        <v>3521</v>
      </c>
    </row>
    <row r="17" spans="1:10" x14ac:dyDescent="0.2">
      <c r="B17" s="287" t="s">
        <v>150</v>
      </c>
      <c r="C17" s="288"/>
      <c r="D17" s="288"/>
      <c r="E17" s="288"/>
      <c r="F17" s="289">
        <f>SUM(F14:F16)</f>
        <v>12660</v>
      </c>
      <c r="G17" s="289">
        <f>SUM(G14:G16)</f>
        <v>12721</v>
      </c>
      <c r="H17" s="289">
        <f>SUM(H14:H16)</f>
        <v>11051</v>
      </c>
      <c r="I17" s="289">
        <f>SUM(I14:I16)</f>
        <v>11643</v>
      </c>
      <c r="J17" s="289">
        <f>SUM(J14:J16)</f>
        <v>11154</v>
      </c>
    </row>
    <row r="19" spans="1:10" ht="15.75" thickBot="1" x14ac:dyDescent="0.25">
      <c r="A19" s="3" t="s">
        <v>182</v>
      </c>
      <c r="B19" s="290" t="s">
        <v>428</v>
      </c>
      <c r="C19" s="290"/>
      <c r="D19" s="290"/>
      <c r="E19" s="290"/>
      <c r="F19" s="291">
        <f>F11-F17</f>
        <v>-1070</v>
      </c>
      <c r="G19" s="291">
        <f>G11-G17</f>
        <v>-3030</v>
      </c>
      <c r="H19" s="291">
        <f>H11-H17</f>
        <v>509</v>
      </c>
      <c r="I19" s="291">
        <f>I11-I17</f>
        <v>-939</v>
      </c>
      <c r="J19" s="291">
        <f>J11-J17</f>
        <v>-161</v>
      </c>
    </row>
    <row r="21" spans="1:10" x14ac:dyDescent="0.2">
      <c r="B21" s="148" t="s">
        <v>429</v>
      </c>
    </row>
    <row r="22" spans="1:10" x14ac:dyDescent="0.2">
      <c r="B22" s="283" t="str">
        <f>'Historical Financial statements'!B73</f>
        <v>Property, plant and equipment</v>
      </c>
      <c r="C22" s="280"/>
      <c r="D22" s="280"/>
      <c r="E22" s="280"/>
      <c r="F22" s="281">
        <f>'Historical Financial statements'!H73</f>
        <v>32028</v>
      </c>
      <c r="G22" s="281">
        <f>'Historical Financial statements'!I73</f>
        <v>20100</v>
      </c>
      <c r="H22" s="281">
        <f>'Historical Financial statements'!J73</f>
        <v>20085</v>
      </c>
      <c r="I22" s="281">
        <f>'Historical Financial statements'!K73</f>
        <v>18695</v>
      </c>
      <c r="J22" s="281">
        <f>'Historical Financial statements'!L73</f>
        <v>18122</v>
      </c>
    </row>
    <row r="23" spans="1:10" x14ac:dyDescent="0.2">
      <c r="B23" s="283" t="str">
        <f>'Historical Financial statements'!B74</f>
        <v>Less: Accumulated depreciation</v>
      </c>
      <c r="C23" s="280"/>
      <c r="D23" s="280"/>
      <c r="E23" s="280"/>
      <c r="F23" s="281">
        <f>('Historical Financial statements'!H74)*-1</f>
        <v>-22018</v>
      </c>
      <c r="G23" s="281">
        <f>('Historical Financial statements'!I74)*-1</f>
        <v>-13895</v>
      </c>
      <c r="H23" s="281">
        <f>('Historical Financial statements'!J74)*-1</f>
        <v>-14390</v>
      </c>
      <c r="I23" s="281">
        <f>('Historical Financial statements'!K74)*-1</f>
        <v>-13361</v>
      </c>
      <c r="J23" s="281">
        <f>('Historical Financial statements'!L74)*-1</f>
        <v>-12621</v>
      </c>
    </row>
    <row r="24" spans="1:10" x14ac:dyDescent="0.2">
      <c r="B24" s="283" t="str">
        <f>'Historical Financial statements'!B75</f>
        <v>Property, plant and equipment—net</v>
      </c>
      <c r="C24" s="280"/>
      <c r="D24" s="280"/>
      <c r="E24" s="280"/>
      <c r="F24" s="281">
        <f>'Historical Financial statements'!H75</f>
        <v>10010</v>
      </c>
      <c r="G24" s="281">
        <f>'Historical Financial statements'!I75</f>
        <v>6205</v>
      </c>
      <c r="H24" s="281">
        <f>'Historical Financial statements'!J75</f>
        <v>5694</v>
      </c>
      <c r="I24" s="281">
        <f>'Historical Financial statements'!K75</f>
        <v>5334</v>
      </c>
      <c r="J24" s="281">
        <f>'Historical Financial statements'!L75</f>
        <v>5501</v>
      </c>
    </row>
    <row r="25" spans="1:10" x14ac:dyDescent="0.2">
      <c r="B25" s="283" t="str">
        <f>'Historical Financial statements'!B76</f>
        <v>Operating right-of-use assets—net</v>
      </c>
      <c r="C25" s="280"/>
      <c r="D25" s="280"/>
      <c r="E25" s="280"/>
      <c r="F25" s="281">
        <f>'Historical Financial statements'!H76</f>
        <v>4995</v>
      </c>
      <c r="G25" s="281">
        <f>'Historical Financial statements'!I76</f>
        <v>3566</v>
      </c>
      <c r="H25" s="281">
        <f>'Historical Financial statements'!J76</f>
        <v>3222</v>
      </c>
      <c r="I25" s="281">
        <f>'Historical Financial statements'!K76</f>
        <v>2878</v>
      </c>
      <c r="J25" s="281">
        <f>'Historical Financial statements'!L76</f>
        <v>3220</v>
      </c>
    </row>
    <row r="26" spans="1:10" x14ac:dyDescent="0.2">
      <c r="B26" s="283" t="str">
        <f>'Historical Financial statements'!B77</f>
        <v>Long-term ﬁnancing receivables (net of allowances)</v>
      </c>
      <c r="C26" s="280"/>
      <c r="D26" s="280"/>
      <c r="E26" s="280"/>
      <c r="F26" s="281">
        <f>'Historical Financial statements'!H77</f>
        <v>8712</v>
      </c>
      <c r="G26" s="281">
        <f>'Historical Financial statements'!I77</f>
        <v>7086</v>
      </c>
      <c r="H26" s="281">
        <f>'Historical Financial statements'!J77</f>
        <v>5425</v>
      </c>
      <c r="I26" s="281">
        <f>'Historical Financial statements'!K77</f>
        <v>5806</v>
      </c>
      <c r="J26" s="281">
        <f>'Historical Financial statements'!L77</f>
        <v>5766</v>
      </c>
    </row>
    <row r="27" spans="1:10" x14ac:dyDescent="0.2">
      <c r="B27" s="283" t="str">
        <f>'Historical Financial statements'!B78</f>
        <v>Prepaid pension assets</v>
      </c>
      <c r="C27" s="280"/>
      <c r="D27" s="280"/>
      <c r="E27" s="280"/>
      <c r="F27" s="281">
        <f>'Historical Financial statements'!H78</f>
        <v>6865</v>
      </c>
      <c r="G27" s="281">
        <f>'Historical Financial statements'!I78</f>
        <v>7557</v>
      </c>
      <c r="H27" s="281">
        <f>'Historical Financial statements'!J78</f>
        <v>9850</v>
      </c>
      <c r="I27" s="281">
        <f>'Historical Financial statements'!K78</f>
        <v>8236</v>
      </c>
      <c r="J27" s="281">
        <f>'Historical Financial statements'!L78</f>
        <v>7506</v>
      </c>
    </row>
    <row r="28" spans="1:10" x14ac:dyDescent="0.2">
      <c r="B28" s="283" t="str">
        <f>'Historical Financial statements'!B79</f>
        <v>Deferred costs</v>
      </c>
      <c r="C28" s="280"/>
      <c r="D28" s="280"/>
      <c r="E28" s="280"/>
      <c r="F28" s="281">
        <f>'Historical Financial statements'!H79</f>
        <v>2472</v>
      </c>
      <c r="G28" s="281">
        <f>'Historical Financial statements'!I79</f>
        <v>1150</v>
      </c>
      <c r="H28" s="281">
        <f>'Historical Financial statements'!J79</f>
        <v>924</v>
      </c>
      <c r="I28" s="281">
        <f>'Historical Financial statements'!K79</f>
        <v>865</v>
      </c>
      <c r="J28" s="281">
        <f>'Historical Financial statements'!L79</f>
        <v>842</v>
      </c>
    </row>
    <row r="29" spans="1:10" x14ac:dyDescent="0.2">
      <c r="B29" s="283" t="str">
        <f>'Historical Financial statements'!B80</f>
        <v>Deferred taxes</v>
      </c>
      <c r="C29" s="280"/>
      <c r="D29" s="280"/>
      <c r="E29" s="280"/>
      <c r="F29" s="281">
        <f>'Historical Financial statements'!H80</f>
        <v>5182</v>
      </c>
      <c r="G29" s="281">
        <f>'Historical Financial statements'!I80</f>
        <v>8404</v>
      </c>
      <c r="H29" s="281">
        <f>'Historical Financial statements'!J80</f>
        <v>7370</v>
      </c>
      <c r="I29" s="281">
        <f>'Historical Financial statements'!K80</f>
        <v>6256</v>
      </c>
      <c r="J29" s="281">
        <f>'Historical Financial statements'!L80</f>
        <v>6656</v>
      </c>
    </row>
    <row r="30" spans="1:10" x14ac:dyDescent="0.2">
      <c r="B30" s="283" t="str">
        <f>'Historical Financial statements'!B81</f>
        <v>Goodwill</v>
      </c>
      <c r="C30" s="280"/>
      <c r="D30" s="280"/>
      <c r="E30" s="280"/>
      <c r="F30" s="281">
        <f>'Historical Financial statements'!H81</f>
        <v>58222</v>
      </c>
      <c r="G30" s="281">
        <f>'Historical Financial statements'!I81</f>
        <v>53765</v>
      </c>
      <c r="H30" s="281">
        <f>'Historical Financial statements'!J81</f>
        <v>55643</v>
      </c>
      <c r="I30" s="281">
        <f>'Historical Financial statements'!K81</f>
        <v>55949</v>
      </c>
      <c r="J30" s="281">
        <f>'Historical Financial statements'!L81</f>
        <v>60178</v>
      </c>
    </row>
    <row r="31" spans="1:10" x14ac:dyDescent="0.2">
      <c r="B31" s="283" t="str">
        <f>'Historical Financial statements'!B82</f>
        <v>Intangible assets—net</v>
      </c>
      <c r="C31" s="280"/>
      <c r="D31" s="280"/>
      <c r="E31" s="280"/>
      <c r="F31" s="281">
        <f>'Historical Financial statements'!H82</f>
        <v>15235</v>
      </c>
      <c r="G31" s="281">
        <f>'Historical Financial statements'!I82</f>
        <v>13739</v>
      </c>
      <c r="H31" s="281">
        <f>'Historical Financial statements'!J82</f>
        <v>12511</v>
      </c>
      <c r="I31" s="281">
        <f>'Historical Financial statements'!K82</f>
        <v>11184</v>
      </c>
      <c r="J31" s="281">
        <f>'Historical Financial statements'!L82</f>
        <v>11036</v>
      </c>
    </row>
    <row r="32" spans="1:10" x14ac:dyDescent="0.2">
      <c r="B32" s="283" t="str">
        <f>'Historical Financial statements'!B83</f>
        <v>Investments and sundry assets</v>
      </c>
      <c r="C32" s="280"/>
      <c r="D32" s="280"/>
      <c r="E32" s="280"/>
      <c r="F32" s="281">
        <f>'Historical Financial statements'!H83</f>
        <v>2074</v>
      </c>
      <c r="G32" s="281">
        <f>'Historical Financial statements'!I83</f>
        <v>2187</v>
      </c>
      <c r="H32" s="281">
        <f>'Historical Financial statements'!J83</f>
        <v>1823</v>
      </c>
      <c r="I32" s="281">
        <f>'Historical Financial statements'!K83</f>
        <v>1617</v>
      </c>
      <c r="J32" s="281">
        <f>'Historical Financial statements'!L83</f>
        <v>1626</v>
      </c>
    </row>
    <row r="33" spans="1:10" ht="4.5" customHeight="1" thickBot="1" x14ac:dyDescent="0.25">
      <c r="B33" s="283"/>
      <c r="C33" s="280"/>
      <c r="D33" s="280"/>
      <c r="E33" s="280"/>
      <c r="F33" s="281"/>
      <c r="G33" s="281"/>
      <c r="H33" s="281"/>
      <c r="I33" s="281"/>
      <c r="J33" s="281"/>
    </row>
    <row r="34" spans="1:10" x14ac:dyDescent="0.2">
      <c r="A34" s="3" t="s">
        <v>182</v>
      </c>
      <c r="B34" s="287" t="s">
        <v>430</v>
      </c>
      <c r="C34" s="288"/>
      <c r="D34" s="288"/>
      <c r="E34" s="288"/>
      <c r="F34" s="289">
        <f>SUM(F22:F32)</f>
        <v>123777</v>
      </c>
      <c r="G34" s="289">
        <f>SUM(G22:G32)</f>
        <v>109864</v>
      </c>
      <c r="H34" s="289">
        <f>SUM(H22:H32)</f>
        <v>108157</v>
      </c>
      <c r="I34" s="289">
        <f>SUM(I22:I32)</f>
        <v>103459</v>
      </c>
      <c r="J34" s="289">
        <f>SUM(J22:J32)</f>
        <v>107832</v>
      </c>
    </row>
    <row r="36" spans="1:10" x14ac:dyDescent="0.2">
      <c r="A36" s="3" t="s">
        <v>182</v>
      </c>
      <c r="B36" s="148" t="s">
        <v>431</v>
      </c>
      <c r="F36" s="16">
        <f>F34+F19</f>
        <v>122707</v>
      </c>
      <c r="G36" s="16">
        <f>G34+G19</f>
        <v>106834</v>
      </c>
      <c r="H36" s="16">
        <f>H34+H19</f>
        <v>108666</v>
      </c>
      <c r="I36" s="16">
        <f>I34+I19</f>
        <v>102520</v>
      </c>
      <c r="J36" s="16">
        <f>J34+J19</f>
        <v>107671</v>
      </c>
    </row>
    <row r="37" spans="1:10" x14ac:dyDescent="0.2">
      <c r="B37" s="148" t="s">
        <v>325</v>
      </c>
      <c r="C37" s="148"/>
      <c r="D37" s="148"/>
      <c r="E37" s="148"/>
      <c r="F37" s="16">
        <f>'Historical Financial statements'!H18</f>
        <v>6900</v>
      </c>
      <c r="G37" s="16">
        <f>'Historical Financial statements'!I18</f>
        <v>4042</v>
      </c>
      <c r="H37" s="16">
        <f>'Historical Financial statements'!J18</f>
        <v>6253</v>
      </c>
      <c r="I37" s="16">
        <f>'Historical Financial statements'!K18</f>
        <v>7512</v>
      </c>
      <c r="J37" s="16">
        <f>'Historical Financial statements'!L18</f>
        <v>8522</v>
      </c>
    </row>
    <row r="39" spans="1:10" ht="15.75" thickBot="1" x14ac:dyDescent="0.25">
      <c r="A39" s="3" t="s">
        <v>182</v>
      </c>
      <c r="B39" s="290" t="s">
        <v>432</v>
      </c>
      <c r="C39" s="292"/>
      <c r="D39" s="292"/>
      <c r="E39" s="292"/>
      <c r="F39" s="293">
        <f>F37/F36</f>
        <v>5.6231510834752703E-2</v>
      </c>
      <c r="G39" s="293">
        <f>G37/G36</f>
        <v>3.7834397289252482E-2</v>
      </c>
      <c r="H39" s="293">
        <f>H37/H36</f>
        <v>5.7543297811643017E-2</v>
      </c>
      <c r="I39" s="293">
        <f>I37/I36</f>
        <v>7.327350760827156E-2</v>
      </c>
      <c r="J39" s="293">
        <f>J37/J36</f>
        <v>7.9148517242340094E-2</v>
      </c>
    </row>
    <row r="42" spans="1:10" ht="15.75" x14ac:dyDescent="0.2">
      <c r="A42" s="3" t="s">
        <v>182</v>
      </c>
      <c r="B42" s="278" t="s">
        <v>433</v>
      </c>
      <c r="C42" s="262"/>
      <c r="D42" s="262"/>
      <c r="E42" s="263"/>
      <c r="F42" s="4">
        <v>43830</v>
      </c>
      <c r="G42" s="4">
        <v>44196</v>
      </c>
      <c r="H42" s="4">
        <v>44561</v>
      </c>
      <c r="I42" s="4">
        <v>44926</v>
      </c>
      <c r="J42" s="4">
        <v>45291</v>
      </c>
    </row>
    <row r="44" spans="1:10" x14ac:dyDescent="0.2">
      <c r="B44" s="295" t="s">
        <v>434</v>
      </c>
      <c r="C44" s="295"/>
      <c r="D44" s="295"/>
      <c r="E44" s="295"/>
      <c r="F44" s="298">
        <f>('Historical Financial statements'!H147+'Historical Financial statements'!H149)*-1</f>
        <v>1749</v>
      </c>
      <c r="G44" s="298">
        <f>('Historical Financial statements'!I147+'Historical Financial statements'!I149)*-1</f>
        <v>2430</v>
      </c>
      <c r="H44" s="298">
        <f>('Historical Financial statements'!J147+'Historical Financial statements'!J149)*-1</f>
        <v>1675</v>
      </c>
      <c r="I44" s="298">
        <f>('Historical Financial statements'!K147+'Historical Financial statements'!K149)*-1</f>
        <v>1235</v>
      </c>
      <c r="J44" s="298">
        <f>('Historical Financial statements'!L147+'Historical Financial statements'!L149)*-1</f>
        <v>924</v>
      </c>
    </row>
    <row r="45" spans="1:10" x14ac:dyDescent="0.2">
      <c r="B45" s="280" t="s">
        <v>435</v>
      </c>
      <c r="C45" s="280"/>
      <c r="D45" s="280"/>
      <c r="E45" s="280"/>
      <c r="F45" s="280"/>
      <c r="G45" s="281">
        <f>G19-F19</f>
        <v>-1960</v>
      </c>
      <c r="H45" s="281">
        <f>H19-G19</f>
        <v>3539</v>
      </c>
      <c r="I45" s="281">
        <f>I19-H19</f>
        <v>-1448</v>
      </c>
      <c r="J45" s="281">
        <f>J19-I19</f>
        <v>778</v>
      </c>
    </row>
    <row r="46" spans="1:10" x14ac:dyDescent="0.2">
      <c r="B46" s="280"/>
      <c r="C46" s="280"/>
      <c r="D46" s="280"/>
      <c r="E46" s="280"/>
      <c r="F46" s="280"/>
      <c r="G46" s="280"/>
      <c r="H46" s="280"/>
      <c r="I46" s="280"/>
      <c r="J46" s="280"/>
    </row>
    <row r="47" spans="1:10" x14ac:dyDescent="0.2">
      <c r="B47" s="280" t="s">
        <v>325</v>
      </c>
      <c r="C47" s="280"/>
      <c r="D47" s="280"/>
      <c r="E47" s="280"/>
      <c r="F47" s="281">
        <f>F37</f>
        <v>6900</v>
      </c>
      <c r="G47" s="281">
        <f>G37</f>
        <v>4042</v>
      </c>
      <c r="H47" s="281">
        <f>H37</f>
        <v>6253</v>
      </c>
      <c r="I47" s="281">
        <f>I37</f>
        <v>7512</v>
      </c>
      <c r="J47" s="281">
        <f>J37</f>
        <v>8522</v>
      </c>
    </row>
    <row r="48" spans="1:10" x14ac:dyDescent="0.2">
      <c r="B48" s="280" t="s">
        <v>436</v>
      </c>
      <c r="C48" s="280"/>
      <c r="D48" s="280"/>
      <c r="E48" s="280"/>
      <c r="F48" s="294">
        <v>9.7000000000000003E-2</v>
      </c>
      <c r="G48" s="294">
        <v>9.7000000000000003E-2</v>
      </c>
      <c r="H48" s="294">
        <v>9.7000000000000003E-2</v>
      </c>
      <c r="I48" s="294">
        <v>9.7000000000000003E-2</v>
      </c>
      <c r="J48" s="294">
        <v>9.7000000000000003E-2</v>
      </c>
    </row>
    <row r="49" spans="1:10" x14ac:dyDescent="0.2">
      <c r="B49" s="280" t="s">
        <v>438</v>
      </c>
      <c r="C49" s="280"/>
      <c r="D49" s="280"/>
      <c r="E49" s="280"/>
      <c r="F49" s="281">
        <f>F47*(1-F48)</f>
        <v>6230.7</v>
      </c>
      <c r="G49" s="281">
        <f>G47*(1-G48)</f>
        <v>3649.9259999999999</v>
      </c>
      <c r="H49" s="281">
        <f>H47*(1-H48)</f>
        <v>5646.4589999999998</v>
      </c>
      <c r="I49" s="281">
        <f>I47*(1-I48)</f>
        <v>6783.3360000000002</v>
      </c>
      <c r="J49" s="281">
        <f>J47*(1-J48)</f>
        <v>7695.366</v>
      </c>
    </row>
    <row r="50" spans="1:10" x14ac:dyDescent="0.2">
      <c r="B50" s="280"/>
      <c r="C50" s="280"/>
      <c r="D50" s="280"/>
      <c r="E50" s="280"/>
      <c r="F50" s="280"/>
      <c r="G50" s="280"/>
      <c r="H50" s="280"/>
      <c r="I50" s="280"/>
      <c r="J50" s="280"/>
    </row>
    <row r="51" spans="1:10" x14ac:dyDescent="0.2">
      <c r="B51" s="280" t="s">
        <v>437</v>
      </c>
      <c r="C51" s="280"/>
      <c r="D51" s="280"/>
      <c r="E51" s="280"/>
      <c r="F51" s="280"/>
      <c r="G51" s="281">
        <f>SUM(G44:G45)</f>
        <v>470</v>
      </c>
      <c r="H51" s="281">
        <f>SUM(H44:H45)</f>
        <v>5214</v>
      </c>
      <c r="I51" s="281">
        <f>SUM(I44:I45)</f>
        <v>-213</v>
      </c>
      <c r="J51" s="281">
        <f>SUM(J44:J45)</f>
        <v>1702</v>
      </c>
    </row>
    <row r="52" spans="1:10" ht="3" customHeight="1" x14ac:dyDescent="0.2">
      <c r="B52" s="280"/>
      <c r="C52" s="280"/>
      <c r="D52" s="280"/>
      <c r="E52" s="280"/>
      <c r="F52" s="280"/>
      <c r="G52" s="281"/>
      <c r="H52" s="281"/>
      <c r="I52" s="281"/>
      <c r="J52" s="281"/>
    </row>
    <row r="53" spans="1:10" ht="15.75" thickBot="1" x14ac:dyDescent="0.25">
      <c r="B53" s="290" t="s">
        <v>439</v>
      </c>
      <c r="C53" s="290"/>
      <c r="D53" s="290"/>
      <c r="E53" s="290"/>
      <c r="F53" s="290"/>
      <c r="G53" s="293">
        <f>G51/G49</f>
        <v>0.12876973396172964</v>
      </c>
      <c r="H53" s="293">
        <f>H51/H49</f>
        <v>0.92341058351791805</v>
      </c>
      <c r="I53" s="293">
        <f>I51/I49</f>
        <v>-3.1400479056322726E-2</v>
      </c>
      <c r="J53" s="293">
        <f>J51/J49</f>
        <v>0.22117206640983678</v>
      </c>
    </row>
    <row r="54" spans="1:10" x14ac:dyDescent="0.2">
      <c r="I54" s="29"/>
      <c r="J54" s="29"/>
    </row>
    <row r="55" spans="1:10" x14ac:dyDescent="0.2">
      <c r="I55" s="259" t="s">
        <v>440</v>
      </c>
      <c r="J55" s="270">
        <f>AVERAGE(G53:J53)</f>
        <v>0.31048797620829049</v>
      </c>
    </row>
    <row r="56" spans="1:10" x14ac:dyDescent="0.2">
      <c r="I56" s="259" t="s">
        <v>441</v>
      </c>
      <c r="J56" s="270">
        <f>MEDIAN(G53:J53)</f>
        <v>0.17497090018578321</v>
      </c>
    </row>
    <row r="58" spans="1:10" ht="15.75" x14ac:dyDescent="0.2">
      <c r="A58" s="3" t="s">
        <v>182</v>
      </c>
      <c r="B58" s="278" t="s">
        <v>442</v>
      </c>
      <c r="C58" s="262"/>
      <c r="D58" s="262"/>
      <c r="E58" s="263"/>
      <c r="F58" s="4">
        <v>43830</v>
      </c>
      <c r="G58" s="4">
        <v>44196</v>
      </c>
      <c r="H58" s="4">
        <v>44561</v>
      </c>
      <c r="I58" s="4">
        <v>44926</v>
      </c>
      <c r="J58" s="4">
        <v>45291</v>
      </c>
    </row>
    <row r="60" spans="1:10" x14ac:dyDescent="0.2">
      <c r="B60" s="295" t="s">
        <v>439</v>
      </c>
      <c r="C60" s="295"/>
      <c r="D60" s="295"/>
      <c r="E60" s="295"/>
      <c r="F60" s="295"/>
      <c r="G60" s="296">
        <f>G53</f>
        <v>0.12876973396172964</v>
      </c>
      <c r="H60" s="296">
        <f>H53</f>
        <v>0.92341058351791805</v>
      </c>
      <c r="I60" s="296">
        <f>I53</f>
        <v>-3.1400479056322726E-2</v>
      </c>
      <c r="J60" s="296">
        <f>J53</f>
        <v>0.22117206640983678</v>
      </c>
    </row>
    <row r="61" spans="1:10" x14ac:dyDescent="0.2">
      <c r="B61" s="280" t="s">
        <v>432</v>
      </c>
      <c r="C61" s="280"/>
      <c r="D61" s="280"/>
      <c r="E61" s="280"/>
      <c r="F61" s="280"/>
      <c r="G61" s="297">
        <f>G39</f>
        <v>3.7834397289252482E-2</v>
      </c>
      <c r="H61" s="297">
        <f>H39</f>
        <v>5.7543297811643017E-2</v>
      </c>
      <c r="I61" s="297">
        <f>I39</f>
        <v>7.327350760827156E-2</v>
      </c>
      <c r="J61" s="297">
        <f>J39</f>
        <v>7.9148517242340094E-2</v>
      </c>
    </row>
    <row r="62" spans="1:10" ht="3" customHeight="1" x14ac:dyDescent="0.2"/>
    <row r="63" spans="1:10" ht="15.75" thickBot="1" x14ac:dyDescent="0.25">
      <c r="B63" s="290" t="s">
        <v>443</v>
      </c>
      <c r="C63" s="290"/>
      <c r="D63" s="290"/>
      <c r="E63" s="290"/>
      <c r="F63" s="290"/>
      <c r="G63" s="299">
        <f>G60*G61</f>
        <v>4.8719252735394273E-3</v>
      </c>
      <c r="H63" s="299">
        <f>H60*H61</f>
        <v>5.3136090209794616E-2</v>
      </c>
      <c r="I63" s="299">
        <f>I60*I61</f>
        <v>-2.300823241036835E-3</v>
      </c>
      <c r="J63" s="299">
        <f>J60*J61</f>
        <v>1.7505441111762953E-2</v>
      </c>
    </row>
    <row r="65" spans="9:10" x14ac:dyDescent="0.2">
      <c r="I65" s="259" t="s">
        <v>440</v>
      </c>
      <c r="J65" s="270">
        <f>AVERAGE(G63:J63)</f>
        <v>1.8303158338515039E-2</v>
      </c>
    </row>
    <row r="66" spans="9:10" x14ac:dyDescent="0.2">
      <c r="I66" s="259" t="s">
        <v>441</v>
      </c>
      <c r="J66" s="270">
        <f>MEDIAN(G63:J63)</f>
        <v>1.1188683192651191E-2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4"/>
  <sheetViews>
    <sheetView showGridLines="0" workbookViewId="0"/>
  </sheetViews>
  <sheetFormatPr defaultRowHeight="15" x14ac:dyDescent="0.2"/>
  <cols>
    <col min="1" max="1" width="3" style="3" customWidth="1"/>
    <col min="2" max="2" width="18.6640625" style="3" customWidth="1"/>
    <col min="3" max="4" width="24.83203125" style="3" customWidth="1"/>
    <col min="5" max="10" width="16.33203125" style="3" customWidth="1"/>
    <col min="11" max="16384" width="9.33203125" style="3"/>
  </cols>
  <sheetData>
    <row r="2" spans="1:10" ht="21" x14ac:dyDescent="0.2">
      <c r="B2" s="312" t="s">
        <v>467</v>
      </c>
      <c r="C2" s="124"/>
      <c r="D2" s="124"/>
      <c r="E2" s="124"/>
      <c r="F2" s="124"/>
      <c r="G2" s="124"/>
      <c r="H2" s="124"/>
      <c r="I2" s="124"/>
      <c r="J2" s="124"/>
    </row>
    <row r="4" spans="1:10" x14ac:dyDescent="0.2">
      <c r="A4" s="3" t="s">
        <v>182</v>
      </c>
      <c r="B4" s="3" t="s">
        <v>375</v>
      </c>
      <c r="D4" s="313">
        <v>45540</v>
      </c>
    </row>
    <row r="5" spans="1:10" ht="6.75" customHeight="1" x14ac:dyDescent="0.2"/>
    <row r="6" spans="1:10" x14ac:dyDescent="0.2">
      <c r="B6" s="285" t="s">
        <v>468</v>
      </c>
      <c r="C6" s="285"/>
      <c r="D6" s="314">
        <f>D50</f>
        <v>150.61565381173804</v>
      </c>
      <c r="H6" s="285" t="s">
        <v>466</v>
      </c>
      <c r="I6" s="285"/>
      <c r="J6" s="316">
        <f>D53</f>
        <v>0.3360497060387051</v>
      </c>
    </row>
    <row r="7" spans="1:10" x14ac:dyDescent="0.2">
      <c r="B7" s="295" t="s">
        <v>469</v>
      </c>
      <c r="C7" s="295"/>
      <c r="D7" s="315">
        <f>D52</f>
        <v>201.23</v>
      </c>
      <c r="H7" s="295"/>
      <c r="I7" s="295"/>
      <c r="J7" s="317">
        <f>D52/D50</f>
        <v>1.3360497060387051</v>
      </c>
    </row>
    <row r="10" spans="1:10" x14ac:dyDescent="0.2">
      <c r="E10" s="10">
        <v>0</v>
      </c>
      <c r="F10" s="322">
        <v>0.5</v>
      </c>
      <c r="G10" s="10">
        <f>F10+1</f>
        <v>1.5</v>
      </c>
      <c r="H10" s="10">
        <f>G10+1</f>
        <v>2.5</v>
      </c>
      <c r="I10" s="10">
        <f>H10+1</f>
        <v>3.5</v>
      </c>
      <c r="J10" s="10">
        <f>I10+1</f>
        <v>4.5</v>
      </c>
    </row>
    <row r="11" spans="1:10" ht="15.75" x14ac:dyDescent="0.25">
      <c r="A11" s="5" t="s">
        <v>182</v>
      </c>
      <c r="B11" s="278" t="s">
        <v>445</v>
      </c>
      <c r="C11" s="262"/>
      <c r="D11" s="262"/>
      <c r="E11" s="300">
        <v>45291</v>
      </c>
      <c r="F11" s="301">
        <v>45657</v>
      </c>
      <c r="G11" s="301">
        <v>46022</v>
      </c>
      <c r="H11" s="301">
        <v>46387</v>
      </c>
      <c r="I11" s="301">
        <v>46752</v>
      </c>
      <c r="J11" s="301">
        <v>47118</v>
      </c>
    </row>
    <row r="13" spans="1:10" x14ac:dyDescent="0.2">
      <c r="B13" s="3" t="s">
        <v>325</v>
      </c>
      <c r="E13" s="318">
        <f>'Historical Financial statements'!L18</f>
        <v>8522</v>
      </c>
      <c r="F13" s="267">
        <f>E13*(1+$D$27)</f>
        <v>9012.0150000000012</v>
      </c>
      <c r="G13" s="267">
        <f>F13*(1+$D$27)</f>
        <v>9530.2058625000027</v>
      </c>
      <c r="H13" s="267">
        <f>G13*(1+$D$27)</f>
        <v>10078.192699593754</v>
      </c>
      <c r="I13" s="267">
        <f>H13*(1+$D$27)</f>
        <v>10657.688779820395</v>
      </c>
      <c r="J13" s="267">
        <f>I13*(1+$D$27)</f>
        <v>11270.50588466007</v>
      </c>
    </row>
    <row r="14" spans="1:10" x14ac:dyDescent="0.2">
      <c r="E14" s="318"/>
      <c r="F14" s="267"/>
      <c r="G14" s="267"/>
      <c r="H14" s="267"/>
      <c r="I14" s="267"/>
      <c r="J14" s="267"/>
    </row>
    <row r="15" spans="1:10" x14ac:dyDescent="0.2">
      <c r="B15" s="3" t="s">
        <v>337</v>
      </c>
      <c r="E15" s="319">
        <v>9.7000000000000003E-2</v>
      </c>
      <c r="F15" s="30">
        <f>E15</f>
        <v>9.7000000000000003E-2</v>
      </c>
      <c r="G15" s="30">
        <f>F15</f>
        <v>9.7000000000000003E-2</v>
      </c>
      <c r="H15" s="30">
        <f>G15</f>
        <v>9.7000000000000003E-2</v>
      </c>
      <c r="I15" s="30">
        <f>H15</f>
        <v>9.7000000000000003E-2</v>
      </c>
      <c r="J15" s="30">
        <f>I15</f>
        <v>9.7000000000000003E-2</v>
      </c>
    </row>
    <row r="16" spans="1:10" x14ac:dyDescent="0.2">
      <c r="E16" s="319"/>
      <c r="F16" s="30"/>
      <c r="G16" s="30"/>
      <c r="H16" s="30"/>
      <c r="I16" s="30"/>
      <c r="J16" s="30"/>
    </row>
    <row r="17" spans="1:10" x14ac:dyDescent="0.2">
      <c r="B17" s="3" t="s">
        <v>438</v>
      </c>
      <c r="E17" s="318">
        <f t="shared" ref="E17:J17" si="0">E13*(1-E15)</f>
        <v>7695.366</v>
      </c>
      <c r="F17" s="267">
        <f t="shared" si="0"/>
        <v>8137.8495450000009</v>
      </c>
      <c r="G17" s="267">
        <f t="shared" si="0"/>
        <v>8605.7758938375027</v>
      </c>
      <c r="H17" s="267">
        <f t="shared" si="0"/>
        <v>9100.6080077331608</v>
      </c>
      <c r="I17" s="267">
        <f t="shared" si="0"/>
        <v>9623.8929681778172</v>
      </c>
      <c r="J17" s="267">
        <f t="shared" si="0"/>
        <v>10177.266813848044</v>
      </c>
    </row>
    <row r="18" spans="1:10" x14ac:dyDescent="0.2">
      <c r="E18" s="318"/>
      <c r="F18" s="267"/>
      <c r="G18" s="267"/>
      <c r="H18" s="267"/>
      <c r="I18" s="267"/>
      <c r="J18" s="267"/>
    </row>
    <row r="19" spans="1:10" x14ac:dyDescent="0.2">
      <c r="B19" s="3" t="s">
        <v>446</v>
      </c>
      <c r="E19" s="248">
        <f>'Intrinsic Growth'!J56</f>
        <v>0.17497090018578321</v>
      </c>
      <c r="F19" s="29">
        <f>E19+(($J$19-$E$19)/4)</f>
        <v>0.1907281751393374</v>
      </c>
      <c r="G19" s="29">
        <f>F19+(($J$19-$E$19)/4)</f>
        <v>0.2064854500928916</v>
      </c>
      <c r="H19" s="29">
        <f>G19+(($J$19-$E$19)/4)</f>
        <v>0.22224272504644579</v>
      </c>
      <c r="I19" s="29">
        <f>H19+(($J$19-$E$19)/4)</f>
        <v>0.23799999999999999</v>
      </c>
      <c r="J19" s="320">
        <v>0.23799999999999999</v>
      </c>
    </row>
    <row r="20" spans="1:10" x14ac:dyDescent="0.2">
      <c r="E20" s="248"/>
      <c r="F20" s="29"/>
      <c r="G20" s="29"/>
      <c r="H20" s="29"/>
      <c r="I20" s="29"/>
      <c r="J20" s="320"/>
    </row>
    <row r="21" spans="1:10" ht="15.75" thickBot="1" x14ac:dyDescent="0.25">
      <c r="B21" s="292" t="s">
        <v>447</v>
      </c>
      <c r="C21" s="292"/>
      <c r="D21" s="292"/>
      <c r="E21" s="323">
        <f t="shared" ref="E21:J21" si="1">E17*(1-E19)</f>
        <v>6348.9008837209303</v>
      </c>
      <c r="F21" s="324">
        <f t="shared" si="1"/>
        <v>6585.7323517236637</v>
      </c>
      <c r="G21" s="324">
        <f t="shared" si="1"/>
        <v>6828.8083849999093</v>
      </c>
      <c r="H21" s="324">
        <f t="shared" si="1"/>
        <v>7078.0640845150365</v>
      </c>
      <c r="I21" s="324">
        <f t="shared" si="1"/>
        <v>7333.4064417514965</v>
      </c>
      <c r="J21" s="324">
        <f t="shared" si="1"/>
        <v>7755.0773121522097</v>
      </c>
    </row>
    <row r="22" spans="1:10" x14ac:dyDescent="0.2">
      <c r="E22" s="318"/>
      <c r="F22" s="267"/>
      <c r="G22" s="267"/>
      <c r="H22" s="267"/>
      <c r="I22" s="267"/>
      <c r="J22" s="267"/>
    </row>
    <row r="23" spans="1:10" x14ac:dyDescent="0.2">
      <c r="B23" s="3" t="s">
        <v>448</v>
      </c>
      <c r="E23" s="235">
        <f t="shared" ref="E23:J23" si="2">1/(1+$D$29)^E10</f>
        <v>1</v>
      </c>
      <c r="F23" s="321">
        <f t="shared" si="2"/>
        <v>0.96626702530501885</v>
      </c>
      <c r="G23" s="321">
        <f t="shared" si="2"/>
        <v>0.90217643145031401</v>
      </c>
      <c r="H23" s="321">
        <f t="shared" si="2"/>
        <v>0.84233684079977234</v>
      </c>
      <c r="I23" s="321">
        <f t="shared" si="2"/>
        <v>0.78646629266064727</v>
      </c>
      <c r="J23" s="321">
        <f t="shared" si="2"/>
        <v>0.73430152823911721</v>
      </c>
    </row>
    <row r="24" spans="1:10" x14ac:dyDescent="0.2">
      <c r="E24" s="305"/>
    </row>
    <row r="25" spans="1:10" ht="15.75" thickBot="1" x14ac:dyDescent="0.25">
      <c r="B25" s="290" t="s">
        <v>449</v>
      </c>
      <c r="C25" s="290"/>
      <c r="D25" s="290"/>
      <c r="E25" s="306">
        <f t="shared" ref="E25:J25" si="3">E21*E23</f>
        <v>6348.9008837209303</v>
      </c>
      <c r="F25" s="306">
        <f t="shared" si="3"/>
        <v>6363.5760089550504</v>
      </c>
      <c r="G25" s="306">
        <f t="shared" si="3"/>
        <v>6160.7899798372</v>
      </c>
      <c r="H25" s="306">
        <f t="shared" si="3"/>
        <v>5962.1141399287289</v>
      </c>
      <c r="I25" s="306">
        <f t="shared" si="3"/>
        <v>5767.4769768180086</v>
      </c>
      <c r="J25" s="306">
        <f t="shared" si="3"/>
        <v>5694.5651219258734</v>
      </c>
    </row>
    <row r="27" spans="1:10" x14ac:dyDescent="0.2">
      <c r="B27" s="223" t="s">
        <v>450</v>
      </c>
      <c r="C27" s="223"/>
      <c r="D27" s="303">
        <v>5.7500000000000002E-2</v>
      </c>
    </row>
    <row r="28" spans="1:10" x14ac:dyDescent="0.2">
      <c r="B28" s="223" t="s">
        <v>451</v>
      </c>
      <c r="C28" s="223"/>
      <c r="D28" s="303">
        <v>3.15E-2</v>
      </c>
    </row>
    <row r="29" spans="1:10" x14ac:dyDescent="0.2">
      <c r="B29" s="223" t="s">
        <v>452</v>
      </c>
      <c r="C29" s="223"/>
      <c r="D29" s="304">
        <f>WACC!K41</f>
        <v>7.103997801369577E-2</v>
      </c>
      <c r="F29" s="302"/>
    </row>
    <row r="31" spans="1:10" ht="15.75" x14ac:dyDescent="0.2">
      <c r="A31" s="3" t="s">
        <v>182</v>
      </c>
      <c r="B31" s="278" t="s">
        <v>453</v>
      </c>
      <c r="C31" s="262"/>
      <c r="D31" s="262"/>
      <c r="F31" s="278" t="s">
        <v>470</v>
      </c>
      <c r="G31" s="262"/>
      <c r="H31" s="262"/>
      <c r="I31" s="262"/>
      <c r="J31" s="262"/>
    </row>
    <row r="32" spans="1:10" x14ac:dyDescent="0.2">
      <c r="F32" s="325">
        <f>D43</f>
        <v>182250.13995600087</v>
      </c>
      <c r="G32" s="129">
        <v>0.06</v>
      </c>
      <c r="H32" s="129">
        <v>7.0999999999999994E-2</v>
      </c>
      <c r="I32" s="129">
        <v>0.08</v>
      </c>
      <c r="J32" s="129">
        <v>0.09</v>
      </c>
    </row>
    <row r="33" spans="1:10" x14ac:dyDescent="0.2">
      <c r="B33" s="3" t="s">
        <v>454</v>
      </c>
      <c r="D33" s="267">
        <f>J21*(1+D27)</f>
        <v>8200.9942576009635</v>
      </c>
      <c r="F33" s="326">
        <v>0.02</v>
      </c>
      <c r="G33" s="267">
        <f t="dataTable" ref="G33:J37" dt2D="1" dtr="1" r1="D34" r2="D35"/>
        <v>180498.58763838018</v>
      </c>
      <c r="H33" s="267">
        <v>148027.00490269257</v>
      </c>
      <c r="I33" s="267">
        <v>130315.23250140841</v>
      </c>
      <c r="J33" s="267">
        <v>115977.13103370217</v>
      </c>
    </row>
    <row r="34" spans="1:10" x14ac:dyDescent="0.2">
      <c r="B34" s="3" t="s">
        <v>452</v>
      </c>
      <c r="D34" s="30">
        <f>D29</f>
        <v>7.103997801369577E-2</v>
      </c>
      <c r="F34" s="326">
        <v>3.15E-2</v>
      </c>
      <c r="G34" s="267">
        <v>241246.85964629336</v>
      </c>
      <c r="H34" s="327">
        <v>182404.28466889809</v>
      </c>
      <c r="I34" s="267">
        <v>154113.52462821975</v>
      </c>
      <c r="J34" s="267">
        <v>132888.73789304798</v>
      </c>
    </row>
    <row r="35" spans="1:10" x14ac:dyDescent="0.2">
      <c r="B35" s="3" t="s">
        <v>455</v>
      </c>
      <c r="D35" s="30">
        <f>D28</f>
        <v>3.15E-2</v>
      </c>
      <c r="E35" s="302"/>
      <c r="F35" s="326">
        <v>0.04</v>
      </c>
      <c r="G35" s="267">
        <v>331048.65304929554</v>
      </c>
      <c r="H35" s="267">
        <v>224206.67114477497</v>
      </c>
      <c r="I35" s="267">
        <v>180498.58763838015</v>
      </c>
      <c r="J35" s="267">
        <v>150388.5745561971</v>
      </c>
    </row>
    <row r="36" spans="1:10" x14ac:dyDescent="0.2">
      <c r="F36" s="326">
        <v>0.05</v>
      </c>
      <c r="G36" s="267">
        <v>632148.78387112636</v>
      </c>
      <c r="H36" s="267">
        <v>316710.55158158939</v>
      </c>
      <c r="I36" s="267">
        <v>230681.94277535193</v>
      </c>
      <c r="J36" s="267">
        <v>180498.58763838018</v>
      </c>
    </row>
    <row r="37" spans="1:10" ht="15.75" thickBot="1" x14ac:dyDescent="0.25">
      <c r="B37" s="290" t="s">
        <v>456</v>
      </c>
      <c r="C37" s="290"/>
      <c r="D37" s="306">
        <f>D33/(D34-D35)</f>
        <v>207410.1876020346</v>
      </c>
      <c r="F37" s="326">
        <v>5.5E-2</v>
      </c>
      <c r="G37" s="267">
        <v>1234349.045514788</v>
      </c>
      <c r="H37" s="267">
        <v>406323.6857547533</v>
      </c>
      <c r="I37" s="267">
        <v>270828.62688492937</v>
      </c>
      <c r="J37" s="267">
        <v>202005.73983993949</v>
      </c>
    </row>
    <row r="39" spans="1:10" ht="15.75" x14ac:dyDescent="0.2">
      <c r="A39" s="3" t="s">
        <v>182</v>
      </c>
      <c r="B39" s="278" t="s">
        <v>461</v>
      </c>
      <c r="C39" s="262"/>
      <c r="D39" s="262"/>
    </row>
    <row r="41" spans="1:10" x14ac:dyDescent="0.2">
      <c r="B41" s="3" t="s">
        <v>449</v>
      </c>
      <c r="D41" s="267">
        <f>SUM(F25:J25)</f>
        <v>29948.522227464862</v>
      </c>
    </row>
    <row r="42" spans="1:10" x14ac:dyDescent="0.2">
      <c r="B42" s="3" t="s">
        <v>457</v>
      </c>
      <c r="D42" s="267">
        <f>D37*J23</f>
        <v>152301.61772853602</v>
      </c>
    </row>
    <row r="43" spans="1:10" x14ac:dyDescent="0.2">
      <c r="B43" s="148" t="s">
        <v>458</v>
      </c>
      <c r="C43" s="148"/>
      <c r="D43" s="308">
        <f>SUM(D41:D42)</f>
        <v>182250.13995600087</v>
      </c>
    </row>
    <row r="44" spans="1:10" x14ac:dyDescent="0.2">
      <c r="D44" s="307"/>
    </row>
    <row r="45" spans="1:10" x14ac:dyDescent="0.2">
      <c r="B45" s="3" t="s">
        <v>459</v>
      </c>
      <c r="D45" s="307">
        <f>'Historical Financial statements'!L59</f>
        <v>13089</v>
      </c>
    </row>
    <row r="46" spans="1:10" x14ac:dyDescent="0.2">
      <c r="B46" s="3" t="s">
        <v>460</v>
      </c>
      <c r="D46" s="307">
        <f>'Historical Financial statements'!L92+'Historical Financial statements'!L101</f>
        <v>56547</v>
      </c>
    </row>
    <row r="47" spans="1:10" x14ac:dyDescent="0.2">
      <c r="B47" s="148" t="s">
        <v>462</v>
      </c>
      <c r="C47" s="148"/>
      <c r="D47" s="308">
        <f>D43+D45-D46</f>
        <v>138792.13995600087</v>
      </c>
    </row>
    <row r="48" spans="1:10" x14ac:dyDescent="0.2">
      <c r="B48" s="3" t="s">
        <v>463</v>
      </c>
      <c r="D48" s="70">
        <f>'Historical Financial statements'!L46</f>
        <v>921.49877149877148</v>
      </c>
    </row>
    <row r="49" spans="2:5" x14ac:dyDescent="0.2">
      <c r="D49" s="309"/>
    </row>
    <row r="50" spans="2:5" ht="15.75" thickBot="1" x14ac:dyDescent="0.25">
      <c r="B50" s="290" t="s">
        <v>464</v>
      </c>
      <c r="C50" s="290"/>
      <c r="D50" s="310">
        <f>D47/D48</f>
        <v>150.61565381173804</v>
      </c>
    </row>
    <row r="52" spans="2:5" x14ac:dyDescent="0.2">
      <c r="B52" s="3" t="s">
        <v>465</v>
      </c>
      <c r="D52" s="10">
        <v>201.23</v>
      </c>
    </row>
    <row r="53" spans="2:5" x14ac:dyDescent="0.2">
      <c r="B53" s="3" t="s">
        <v>466</v>
      </c>
      <c r="D53" s="29">
        <f>D52/D50-1</f>
        <v>0.3360497060387051</v>
      </c>
      <c r="E53" s="311"/>
    </row>
    <row r="54" spans="2:5" x14ac:dyDescent="0.2">
      <c r="D54" s="311"/>
    </row>
  </sheetData>
  <pageMargins left="0.7" right="0.7" top="0.75" bottom="0.75" header="0.3" footer="0.3"/>
  <pageSetup paperSize="9" orientation="portrait" r:id="rId1"/>
  <ignoredErrors>
    <ignoredError sqref="E19:J19" formula="1"/>
    <ignoredError sqref="D50 D53 D41" evalError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96"/>
  <sheetViews>
    <sheetView showGridLines="0" workbookViewId="0"/>
  </sheetViews>
  <sheetFormatPr defaultRowHeight="15" x14ac:dyDescent="0.2"/>
  <cols>
    <col min="1" max="1" width="3" style="3" customWidth="1"/>
    <col min="2" max="16384" width="9.33203125" style="3"/>
  </cols>
  <sheetData>
    <row r="2" spans="1:24" ht="18.75" x14ac:dyDescent="0.2">
      <c r="B2" s="337" t="s">
        <v>485</v>
      </c>
      <c r="C2" s="337"/>
      <c r="D2" s="337"/>
      <c r="E2" s="337"/>
      <c r="F2" s="337"/>
      <c r="G2" s="337"/>
      <c r="H2" s="337"/>
      <c r="I2" s="337"/>
      <c r="J2" s="337"/>
      <c r="K2" s="337"/>
      <c r="L2" s="337"/>
      <c r="M2" s="337"/>
      <c r="N2" s="337"/>
      <c r="O2" s="337"/>
      <c r="P2" s="337"/>
      <c r="Q2" s="337"/>
      <c r="R2" s="337"/>
      <c r="S2" s="337"/>
      <c r="T2" s="337"/>
      <c r="U2" s="337"/>
      <c r="V2" s="337"/>
      <c r="W2" s="337"/>
      <c r="X2" s="337"/>
    </row>
    <row r="4" spans="1:24" x14ac:dyDescent="0.2">
      <c r="A4" s="3" t="s">
        <v>182</v>
      </c>
      <c r="B4" s="341" t="s">
        <v>474</v>
      </c>
      <c r="C4" s="341"/>
      <c r="D4" s="341"/>
      <c r="E4" s="341"/>
      <c r="F4" s="341"/>
      <c r="G4" s="341"/>
      <c r="H4" s="341"/>
      <c r="I4" s="341"/>
      <c r="J4" s="341"/>
      <c r="K4" s="341"/>
      <c r="L4" s="341"/>
      <c r="N4" s="341" t="s">
        <v>475</v>
      </c>
      <c r="O4" s="341"/>
      <c r="P4" s="341"/>
      <c r="Q4" s="341"/>
      <c r="R4" s="341"/>
      <c r="S4" s="341"/>
      <c r="T4" s="341"/>
      <c r="U4" s="341"/>
      <c r="V4" s="341"/>
      <c r="W4" s="341"/>
      <c r="X4" s="341"/>
    </row>
    <row r="24" spans="1:24" x14ac:dyDescent="0.2">
      <c r="A24" s="3" t="s">
        <v>182</v>
      </c>
      <c r="B24" s="341" t="s">
        <v>476</v>
      </c>
      <c r="C24" s="341"/>
      <c r="D24" s="341"/>
      <c r="E24" s="341"/>
      <c r="F24" s="341"/>
      <c r="G24" s="341"/>
      <c r="H24" s="341"/>
      <c r="I24" s="341"/>
      <c r="J24" s="341"/>
      <c r="K24" s="341"/>
      <c r="L24" s="341"/>
      <c r="N24" s="341" t="s">
        <v>477</v>
      </c>
      <c r="O24" s="341"/>
      <c r="P24" s="341"/>
      <c r="Q24" s="341"/>
      <c r="R24" s="341"/>
      <c r="S24" s="341"/>
      <c r="T24" s="341"/>
      <c r="U24" s="341"/>
      <c r="V24" s="341"/>
      <c r="W24" s="341"/>
      <c r="X24" s="341"/>
    </row>
    <row r="42" spans="1:24" x14ac:dyDescent="0.2">
      <c r="A42" s="3" t="s">
        <v>182</v>
      </c>
      <c r="B42" s="341" t="s">
        <v>478</v>
      </c>
      <c r="C42" s="341"/>
      <c r="D42" s="341"/>
      <c r="E42" s="341"/>
      <c r="F42" s="341"/>
      <c r="G42" s="341"/>
      <c r="H42" s="341"/>
      <c r="I42" s="341"/>
      <c r="J42" s="341"/>
      <c r="K42" s="341"/>
      <c r="L42" s="341"/>
      <c r="N42" s="341" t="s">
        <v>479</v>
      </c>
      <c r="O42" s="341"/>
      <c r="P42" s="341"/>
      <c r="Q42" s="341"/>
      <c r="R42" s="341"/>
      <c r="S42" s="341"/>
      <c r="T42" s="341"/>
      <c r="U42" s="341"/>
      <c r="V42" s="341"/>
      <c r="W42" s="341"/>
      <c r="X42" s="341"/>
    </row>
    <row r="60" spans="1:12" x14ac:dyDescent="0.2">
      <c r="A60" s="3" t="s">
        <v>182</v>
      </c>
      <c r="B60" s="341" t="s">
        <v>478</v>
      </c>
      <c r="C60" s="341"/>
      <c r="D60" s="341"/>
      <c r="E60" s="341"/>
      <c r="F60" s="341"/>
      <c r="G60" s="341"/>
      <c r="H60" s="341"/>
      <c r="I60" s="341"/>
      <c r="J60" s="341"/>
      <c r="K60" s="341"/>
      <c r="L60" s="341"/>
    </row>
    <row r="78" spans="1:24" x14ac:dyDescent="0.2">
      <c r="A78" s="3" t="s">
        <v>182</v>
      </c>
      <c r="B78" s="341" t="s">
        <v>480</v>
      </c>
      <c r="C78" s="341"/>
      <c r="D78" s="341"/>
      <c r="E78" s="341"/>
      <c r="F78" s="341"/>
      <c r="G78" s="341"/>
      <c r="H78" s="341"/>
      <c r="I78" s="341"/>
      <c r="J78" s="341"/>
      <c r="K78" s="341"/>
      <c r="L78" s="341"/>
      <c r="N78" s="341" t="s">
        <v>481</v>
      </c>
      <c r="O78" s="341"/>
      <c r="P78" s="341"/>
      <c r="Q78" s="341"/>
      <c r="R78" s="341"/>
      <c r="S78" s="341"/>
      <c r="T78" s="341"/>
      <c r="U78" s="341"/>
      <c r="V78" s="341"/>
      <c r="W78" s="341"/>
      <c r="X78" s="341"/>
    </row>
    <row r="96" spans="1:24" x14ac:dyDescent="0.2">
      <c r="A96" s="3" t="s">
        <v>182</v>
      </c>
      <c r="B96" s="341" t="s">
        <v>482</v>
      </c>
      <c r="C96" s="341"/>
      <c r="D96" s="341"/>
      <c r="E96" s="341"/>
      <c r="F96" s="341"/>
      <c r="G96" s="341"/>
      <c r="H96" s="341"/>
      <c r="I96" s="341"/>
      <c r="J96" s="341"/>
      <c r="K96" s="341"/>
      <c r="L96" s="341"/>
      <c r="N96" s="341" t="s">
        <v>484</v>
      </c>
      <c r="O96" s="341"/>
      <c r="P96" s="341"/>
      <c r="Q96" s="341"/>
      <c r="R96" s="341"/>
      <c r="S96" s="341"/>
      <c r="T96" s="341"/>
      <c r="U96" s="341"/>
      <c r="V96" s="341"/>
      <c r="W96" s="341"/>
      <c r="X96" s="341"/>
    </row>
  </sheetData>
  <mergeCells count="12">
    <mergeCell ref="B60:L60"/>
    <mergeCell ref="B78:L78"/>
    <mergeCell ref="N78:X78"/>
    <mergeCell ref="B96:L96"/>
    <mergeCell ref="N96:X96"/>
    <mergeCell ref="B42:L42"/>
    <mergeCell ref="N42:X42"/>
    <mergeCell ref="B2:X2"/>
    <mergeCell ref="B4:L4"/>
    <mergeCell ref="N4:X4"/>
    <mergeCell ref="B24:L24"/>
    <mergeCell ref="N24:X24"/>
  </mergeCells>
  <pageMargins left="0.7" right="0.7" top="0.75" bottom="0.75" header="0.3" footer="0.3"/>
  <pageSetup paperSize="9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28"/>
  <sheetViews>
    <sheetView showGridLines="0" zoomScaleNormal="100" workbookViewId="0">
      <pane ySplit="3" topLeftCell="A4" activePane="bottomLeft" state="frozen"/>
      <selection pane="bottomLeft"/>
    </sheetView>
  </sheetViews>
  <sheetFormatPr defaultRowHeight="15" outlineLevelRow="2" x14ac:dyDescent="0.2"/>
  <cols>
    <col min="1" max="2" width="3" style="3" customWidth="1"/>
    <col min="3" max="3" width="42.83203125" style="3" customWidth="1"/>
    <col min="4" max="5" width="16.1640625" style="3" customWidth="1"/>
    <col min="6" max="13" width="16.1640625" style="10" customWidth="1"/>
    <col min="14" max="17" width="13.1640625" style="10" customWidth="1"/>
    <col min="18" max="16384" width="9.33203125" style="3"/>
  </cols>
  <sheetData>
    <row r="2" spans="1:17" ht="21" customHeight="1" x14ac:dyDescent="0.2">
      <c r="C2" s="337" t="s">
        <v>313</v>
      </c>
      <c r="D2" s="337"/>
      <c r="E2" s="337"/>
      <c r="F2" s="337"/>
      <c r="G2" s="337"/>
      <c r="H2" s="337"/>
      <c r="I2" s="337"/>
      <c r="J2" s="337"/>
      <c r="K2" s="337"/>
      <c r="L2" s="337"/>
      <c r="M2" s="337"/>
      <c r="N2" s="149"/>
      <c r="O2" s="149"/>
      <c r="P2" s="149"/>
    </row>
    <row r="3" spans="1:17" x14ac:dyDescent="0.2">
      <c r="C3" s="150"/>
      <c r="D3" s="134">
        <v>2014</v>
      </c>
      <c r="E3" s="134">
        <v>2015</v>
      </c>
      <c r="F3" s="134">
        <v>2016</v>
      </c>
      <c r="G3" s="134">
        <v>2017</v>
      </c>
      <c r="H3" s="134">
        <v>2018</v>
      </c>
      <c r="I3" s="134">
        <v>2019</v>
      </c>
      <c r="J3" s="134">
        <v>2020</v>
      </c>
      <c r="K3" s="134">
        <v>2021</v>
      </c>
      <c r="L3" s="134">
        <v>2022</v>
      </c>
      <c r="M3" s="134">
        <v>2023</v>
      </c>
      <c r="N3" s="151"/>
      <c r="O3" s="151"/>
      <c r="P3" s="151"/>
    </row>
    <row r="4" spans="1:17" x14ac:dyDescent="0.25">
      <c r="A4" s="5" t="s">
        <v>182</v>
      </c>
      <c r="B4" s="5" t="s">
        <v>182</v>
      </c>
      <c r="C4" s="143"/>
      <c r="D4" s="133"/>
      <c r="E4" s="133"/>
      <c r="F4" s="133"/>
      <c r="G4" s="133"/>
      <c r="H4" s="133"/>
      <c r="I4" s="133"/>
      <c r="J4" s="133"/>
      <c r="K4" s="133"/>
      <c r="L4" s="133"/>
      <c r="M4" s="133"/>
    </row>
    <row r="5" spans="1:17" s="1" customFormat="1" ht="21" x14ac:dyDescent="0.25">
      <c r="A5" s="5"/>
      <c r="B5" s="5"/>
      <c r="C5" s="334" t="s">
        <v>312</v>
      </c>
      <c r="D5" s="334"/>
      <c r="E5" s="334"/>
      <c r="F5" s="334"/>
      <c r="G5" s="334"/>
      <c r="H5" s="334"/>
      <c r="I5" s="334"/>
      <c r="J5" s="334"/>
      <c r="K5" s="334"/>
      <c r="L5" s="334"/>
      <c r="M5" s="334"/>
      <c r="N5" s="2"/>
      <c r="O5" s="2"/>
      <c r="P5" s="2"/>
      <c r="Q5" s="2"/>
    </row>
    <row r="6" spans="1:17" outlineLevel="1" x14ac:dyDescent="0.25">
      <c r="B6" s="5"/>
      <c r="C6" s="148"/>
      <c r="F6" s="3"/>
      <c r="G6" s="3"/>
      <c r="H6" s="3"/>
      <c r="I6" s="3"/>
      <c r="J6" s="3"/>
      <c r="K6" s="3"/>
      <c r="L6" s="3"/>
      <c r="M6" s="3"/>
    </row>
    <row r="7" spans="1:17" outlineLevel="1" x14ac:dyDescent="0.2">
      <c r="C7" s="144" t="s">
        <v>107</v>
      </c>
      <c r="D7" s="29">
        <f>'Ratio Analysis'!C11</f>
        <v>0.50011315508712939</v>
      </c>
      <c r="E7" s="29">
        <f>'Ratio Analysis'!D11</f>
        <v>0.49772454796799687</v>
      </c>
      <c r="F7" s="29">
        <f>'Ratio Analysis'!E11</f>
        <v>0.48195695695695695</v>
      </c>
      <c r="G7" s="29">
        <f>'Ratio Analysis'!F11</f>
        <v>0.46681155940813002</v>
      </c>
      <c r="H7" s="29">
        <f>'Ratio Analysis'!G11</f>
        <v>0.46408513525398598</v>
      </c>
      <c r="I7" s="29">
        <f>'Ratio Analysis'!H11</f>
        <v>0.54638389298956924</v>
      </c>
      <c r="J7" s="29">
        <f>'Ratio Analysis'!I11</f>
        <v>0.5593613512386959</v>
      </c>
      <c r="K7" s="29">
        <f>'Ratio Analysis'!J11</f>
        <v>0.54900524838276576</v>
      </c>
      <c r="L7" s="29">
        <f>'Ratio Analysis'!K11</f>
        <v>0.54002973732033699</v>
      </c>
      <c r="M7" s="29">
        <f>'Ratio Analysis'!L11</f>
        <v>0.55447785321694143</v>
      </c>
    </row>
    <row r="8" spans="1:17" outlineLevel="1" x14ac:dyDescent="0.2">
      <c r="C8" s="153" t="s">
        <v>127</v>
      </c>
      <c r="D8" s="154" t="s">
        <v>58</v>
      </c>
      <c r="E8" s="9">
        <f>E7/D7-1</f>
        <v>-4.7761333506941561E-3</v>
      </c>
      <c r="F8" s="9">
        <f t="shared" ref="F8:M8" si="0">F7/E7-1</f>
        <v>-3.1679351712533443E-2</v>
      </c>
      <c r="G8" s="9">
        <f t="shared" si="0"/>
        <v>-3.1424792878712471E-2</v>
      </c>
      <c r="H8" s="9">
        <f t="shared" si="0"/>
        <v>-5.8405240812821058E-3</v>
      </c>
      <c r="I8" s="9">
        <f t="shared" si="0"/>
        <v>0.17733547464419974</v>
      </c>
      <c r="J8" s="9">
        <f t="shared" si="0"/>
        <v>2.3751538827617713E-2</v>
      </c>
      <c r="K8" s="9">
        <f t="shared" si="0"/>
        <v>-1.8514155175356151E-2</v>
      </c>
      <c r="L8" s="9">
        <f t="shared" si="0"/>
        <v>-1.6348679887612017E-2</v>
      </c>
      <c r="M8" s="9">
        <f t="shared" si="0"/>
        <v>2.6754296843534808E-2</v>
      </c>
    </row>
    <row r="9" spans="1:17" outlineLevel="1" x14ac:dyDescent="0.2">
      <c r="C9" s="144"/>
      <c r="D9" s="141"/>
      <c r="E9" s="130"/>
      <c r="F9" s="130"/>
      <c r="G9" s="130"/>
      <c r="H9" s="130"/>
      <c r="I9" s="130"/>
      <c r="J9" s="130"/>
      <c r="K9" s="130"/>
      <c r="L9" s="130"/>
      <c r="M9" s="130"/>
    </row>
    <row r="10" spans="1:17" outlineLevel="1" x14ac:dyDescent="0.2">
      <c r="C10" s="144" t="s">
        <v>106</v>
      </c>
      <c r="D10" s="29">
        <f>'Ratio Analysis'!C14</f>
        <v>0.12956796310066493</v>
      </c>
      <c r="E10" s="29">
        <f>'Ratio Analysis'!D14</f>
        <v>0.16137359007609306</v>
      </c>
      <c r="F10" s="29">
        <f>'Ratio Analysis'!E14</f>
        <v>0.14856106106106107</v>
      </c>
      <c r="G10" s="29">
        <f>'Ratio Analysis'!F14</f>
        <v>7.2682242636373975E-2</v>
      </c>
      <c r="H10" s="29">
        <f>'Ratio Analysis'!G14</f>
        <v>0.1096732042567627</v>
      </c>
      <c r="I10" s="29">
        <f>'Ratio Analysis'!H14</f>
        <v>0.16342655161659217</v>
      </c>
      <c r="J10" s="29">
        <f>'Ratio Analysis'!I14</f>
        <v>0.10130665651787818</v>
      </c>
      <c r="K10" s="29">
        <f>'Ratio Analysis'!J14</f>
        <v>0.10013774825199212</v>
      </c>
      <c r="L10" s="29">
        <f>'Ratio Analysis'!K14</f>
        <v>2.7077482240211465E-2</v>
      </c>
      <c r="M10" s="29">
        <f>'Ratio Analysis'!L14</f>
        <v>0.12125767862916262</v>
      </c>
    </row>
    <row r="11" spans="1:17" outlineLevel="1" x14ac:dyDescent="0.2">
      <c r="C11" s="153" t="s">
        <v>127</v>
      </c>
      <c r="D11" s="154" t="s">
        <v>58</v>
      </c>
      <c r="E11" s="9">
        <f>E10/D10-1</f>
        <v>0.24547446926149075</v>
      </c>
      <c r="F11" s="9">
        <f t="shared" ref="F11:M11" si="1">F10/E10-1</f>
        <v>-7.9396690679004234E-2</v>
      </c>
      <c r="G11" s="9">
        <f t="shared" si="1"/>
        <v>-0.5107584577192783</v>
      </c>
      <c r="H11" s="9">
        <f t="shared" si="1"/>
        <v>0.50894083999929474</v>
      </c>
      <c r="I11" s="9">
        <f t="shared" si="1"/>
        <v>0.49012288575050822</v>
      </c>
      <c r="J11" s="9">
        <f t="shared" si="1"/>
        <v>-0.38010895098888664</v>
      </c>
      <c r="K11" s="9">
        <f t="shared" si="1"/>
        <v>-1.1538316494334011E-2</v>
      </c>
      <c r="L11" s="9">
        <f t="shared" si="1"/>
        <v>-0.72959765210545569</v>
      </c>
      <c r="M11" s="9">
        <f t="shared" si="1"/>
        <v>3.4781740618811554</v>
      </c>
    </row>
    <row r="12" spans="1:17" outlineLevel="1" x14ac:dyDescent="0.2">
      <c r="C12" s="144"/>
      <c r="D12" s="145"/>
      <c r="E12" s="130"/>
      <c r="F12" s="130"/>
      <c r="G12" s="130"/>
      <c r="H12" s="130"/>
      <c r="I12" s="130"/>
      <c r="J12" s="130"/>
      <c r="K12" s="130"/>
      <c r="L12" s="130"/>
      <c r="M12" s="130"/>
    </row>
    <row r="13" spans="1:17" outlineLevel="1" x14ac:dyDescent="0.2">
      <c r="C13" s="144" t="s">
        <v>108</v>
      </c>
      <c r="D13" s="29">
        <f>'Ratio Analysis'!C21</f>
        <v>0.10252234122382155</v>
      </c>
      <c r="E13" s="29">
        <f>'Ratio Analysis'!D21</f>
        <v>0.11938096746459116</v>
      </c>
      <c r="F13" s="29">
        <f>'Ratio Analysis'!E21</f>
        <v>0.10107261428449817</v>
      </c>
      <c r="G13" s="29">
        <f>'Ratio Analysis'!F21</f>
        <v>4.5885684655578157E-2</v>
      </c>
      <c r="H13" s="29">
        <f>'Ratio Analysis'!G21</f>
        <v>7.0748332401261133E-2</v>
      </c>
      <c r="I13" s="29">
        <f>'Ratio Analysis'!H21</f>
        <v>6.1976384316663052E-2</v>
      </c>
      <c r="J13" s="29">
        <f>'Ratio Analysis'!I21</f>
        <v>3.5839995896673096E-2</v>
      </c>
      <c r="K13" s="29">
        <f>'Ratio Analysis'!J21</f>
        <v>4.3507246157226079E-2</v>
      </c>
      <c r="L13" s="29">
        <f>'Ratio Analysis'!K21</f>
        <v>1.2880865745070455E-2</v>
      </c>
      <c r="M13" s="29">
        <f>'Ratio Analysis'!L21</f>
        <v>5.5464359656906242E-2</v>
      </c>
    </row>
    <row r="14" spans="1:17" outlineLevel="1" x14ac:dyDescent="0.2">
      <c r="C14" s="153" t="s">
        <v>127</v>
      </c>
      <c r="D14" s="154" t="s">
        <v>58</v>
      </c>
      <c r="E14" s="9">
        <f>E13/D13-1</f>
        <v>0.16443856080075969</v>
      </c>
      <c r="F14" s="9">
        <f t="shared" ref="F14:M14" si="2">F13/E13-1</f>
        <v>-0.15336073721737364</v>
      </c>
      <c r="G14" s="9">
        <f t="shared" si="2"/>
        <v>-0.54601268622161492</v>
      </c>
      <c r="H14" s="9">
        <f t="shared" si="2"/>
        <v>0.5418388748539793</v>
      </c>
      <c r="I14" s="9">
        <f t="shared" si="2"/>
        <v>-0.1239880543734444</v>
      </c>
      <c r="J14" s="9">
        <f t="shared" si="2"/>
        <v>-0.42171528249289769</v>
      </c>
      <c r="K14" s="9">
        <f t="shared" si="2"/>
        <v>0.21392999828062775</v>
      </c>
      <c r="L14" s="9">
        <f t="shared" si="2"/>
        <v>-0.70393746139386293</v>
      </c>
      <c r="M14" s="9">
        <f t="shared" si="2"/>
        <v>3.3059496740840277</v>
      </c>
    </row>
    <row r="15" spans="1:17" outlineLevel="1" x14ac:dyDescent="0.2">
      <c r="C15" s="144"/>
      <c r="D15" s="145"/>
      <c r="E15" s="130"/>
      <c r="F15" s="130"/>
      <c r="G15" s="130"/>
      <c r="H15" s="130"/>
      <c r="I15" s="130"/>
      <c r="J15" s="130"/>
      <c r="K15" s="130"/>
      <c r="L15" s="130"/>
      <c r="M15" s="130"/>
    </row>
    <row r="16" spans="1:17" outlineLevel="1" x14ac:dyDescent="0.2">
      <c r="C16" s="144" t="s">
        <v>109</v>
      </c>
      <c r="D16" s="29">
        <f>'Ratio Analysis'!C20</f>
        <v>1.0129749768303986</v>
      </c>
      <c r="E16" s="29">
        <f>'Ratio Analysis'!D20</f>
        <v>0.92497019844330697</v>
      </c>
      <c r="F16" s="29">
        <f>'Ratio Analysis'!E20</f>
        <v>0.6507179655814973</v>
      </c>
      <c r="G16" s="29">
        <f>'Ratio Analysis'!F20</f>
        <v>0.32694821804126639</v>
      </c>
      <c r="H16" s="29">
        <f>'Ratio Analysis'!G20</f>
        <v>0.51973801726704372</v>
      </c>
      <c r="I16" s="29">
        <f>'Ratio Analysis'!H20</f>
        <v>0.45256945444076579</v>
      </c>
      <c r="J16" s="29">
        <f>'Ratio Analysis'!I20</f>
        <v>0.27139874739039666</v>
      </c>
      <c r="K16" s="29">
        <f>'Ratio Analysis'!J20</f>
        <v>0.30384635733559073</v>
      </c>
      <c r="L16" s="29">
        <f>'Ratio Analysis'!K20</f>
        <v>7.4690120306234051E-2</v>
      </c>
      <c r="M16" s="29">
        <f>'Ratio Analysis'!L20</f>
        <v>0.33287476701872726</v>
      </c>
    </row>
    <row r="17" spans="2:17" outlineLevel="1" x14ac:dyDescent="0.2">
      <c r="C17" s="153" t="s">
        <v>127</v>
      </c>
      <c r="D17" s="154" t="s">
        <v>58</v>
      </c>
      <c r="E17" s="9">
        <f>E16/D16-1</f>
        <v>-8.6877544263194717E-2</v>
      </c>
      <c r="F17" s="9">
        <f t="shared" ref="F17:M17" si="3">F16/E16-1</f>
        <v>-0.29649845294839416</v>
      </c>
      <c r="G17" s="9">
        <f t="shared" si="3"/>
        <v>-0.49755772034187262</v>
      </c>
      <c r="H17" s="9">
        <f t="shared" si="3"/>
        <v>0.58966462756938465</v>
      </c>
      <c r="I17" s="9">
        <f t="shared" si="3"/>
        <v>-0.12923542360721019</v>
      </c>
      <c r="J17" s="9">
        <f t="shared" si="3"/>
        <v>-0.40031580848565984</v>
      </c>
      <c r="K17" s="9">
        <f t="shared" si="3"/>
        <v>0.11955696279806127</v>
      </c>
      <c r="L17" s="9">
        <f t="shared" si="3"/>
        <v>-0.75418457880756928</v>
      </c>
      <c r="M17" s="9">
        <f t="shared" si="3"/>
        <v>3.4567442876503662</v>
      </c>
    </row>
    <row r="18" spans="2:17" outlineLevel="1" x14ac:dyDescent="0.2">
      <c r="C18" s="125"/>
      <c r="D18" s="29"/>
      <c r="E18" s="130"/>
      <c r="F18" s="29"/>
      <c r="G18" s="130"/>
      <c r="H18" s="29"/>
      <c r="I18" s="130"/>
      <c r="J18" s="29"/>
      <c r="K18" s="129"/>
    </row>
    <row r="19" spans="2:17" s="148" customFormat="1" ht="15.75" outlineLevel="1" x14ac:dyDescent="0.2">
      <c r="C19" s="155" t="s">
        <v>490</v>
      </c>
      <c r="D19" s="146"/>
      <c r="E19" s="146"/>
      <c r="F19" s="6"/>
      <c r="G19" s="6"/>
      <c r="H19" s="6"/>
      <c r="I19" s="6"/>
      <c r="J19" s="6"/>
      <c r="K19" s="6"/>
      <c r="L19" s="6"/>
      <c r="M19" s="6"/>
      <c r="N19" s="147"/>
      <c r="O19" s="147"/>
      <c r="P19" s="147"/>
      <c r="Q19" s="147"/>
    </row>
    <row r="20" spans="2:17" outlineLevel="2" x14ac:dyDescent="0.25">
      <c r="B20" s="5" t="s">
        <v>182</v>
      </c>
    </row>
    <row r="21" spans="2:17" outlineLevel="2" x14ac:dyDescent="0.2">
      <c r="C21" s="338" t="s">
        <v>110</v>
      </c>
      <c r="D21" s="338"/>
      <c r="E21" s="338"/>
      <c r="F21" s="338"/>
      <c r="G21" s="338"/>
      <c r="H21" s="338"/>
      <c r="I21" s="338"/>
      <c r="J21" s="338"/>
      <c r="K21" s="338"/>
      <c r="L21" s="338"/>
      <c r="M21" s="338"/>
    </row>
    <row r="22" spans="2:17" outlineLevel="2" x14ac:dyDescent="0.2"/>
    <row r="23" spans="2:17" outlineLevel="2" x14ac:dyDescent="0.2"/>
    <row r="24" spans="2:17" outlineLevel="2" x14ac:dyDescent="0.2"/>
    <row r="25" spans="2:17" outlineLevel="2" x14ac:dyDescent="0.2"/>
    <row r="26" spans="2:17" outlineLevel="2" x14ac:dyDescent="0.2"/>
    <row r="27" spans="2:17" outlineLevel="2" x14ac:dyDescent="0.2"/>
    <row r="28" spans="2:17" outlineLevel="2" x14ac:dyDescent="0.2"/>
    <row r="29" spans="2:17" outlineLevel="2" x14ac:dyDescent="0.2"/>
    <row r="30" spans="2:17" outlineLevel="2" x14ac:dyDescent="0.2"/>
    <row r="31" spans="2:17" outlineLevel="2" x14ac:dyDescent="0.2"/>
    <row r="32" spans="2:17" outlineLevel="2" x14ac:dyDescent="0.2"/>
    <row r="33" spans="2:13" outlineLevel="2" x14ac:dyDescent="0.2"/>
    <row r="34" spans="2:13" outlineLevel="2" x14ac:dyDescent="0.2"/>
    <row r="35" spans="2:13" outlineLevel="2" x14ac:dyDescent="0.2"/>
    <row r="36" spans="2:13" outlineLevel="2" x14ac:dyDescent="0.25">
      <c r="B36" s="5" t="s">
        <v>182</v>
      </c>
    </row>
    <row r="37" spans="2:13" outlineLevel="2" x14ac:dyDescent="0.2"/>
    <row r="38" spans="2:13" outlineLevel="2" x14ac:dyDescent="0.2">
      <c r="C38" s="338" t="s">
        <v>111</v>
      </c>
      <c r="D38" s="338"/>
      <c r="E38" s="338"/>
      <c r="F38" s="338"/>
      <c r="G38" s="338"/>
      <c r="H38" s="338"/>
      <c r="I38" s="338"/>
      <c r="J38" s="338"/>
      <c r="K38" s="338"/>
      <c r="L38" s="338"/>
      <c r="M38" s="338"/>
    </row>
    <row r="39" spans="2:13" outlineLevel="2" x14ac:dyDescent="0.2"/>
    <row r="40" spans="2:13" outlineLevel="2" x14ac:dyDescent="0.2"/>
    <row r="41" spans="2:13" outlineLevel="2" x14ac:dyDescent="0.2"/>
    <row r="42" spans="2:13" outlineLevel="2" x14ac:dyDescent="0.2"/>
    <row r="43" spans="2:13" outlineLevel="2" x14ac:dyDescent="0.2"/>
    <row r="44" spans="2:13" outlineLevel="2" x14ac:dyDescent="0.2"/>
    <row r="45" spans="2:13" outlineLevel="2" x14ac:dyDescent="0.2"/>
    <row r="46" spans="2:13" outlineLevel="2" x14ac:dyDescent="0.2"/>
    <row r="47" spans="2:13" outlineLevel="2" x14ac:dyDescent="0.2"/>
    <row r="48" spans="2:13" outlineLevel="2" x14ac:dyDescent="0.2"/>
    <row r="49" spans="2:13" outlineLevel="2" x14ac:dyDescent="0.2"/>
    <row r="50" spans="2:13" outlineLevel="2" x14ac:dyDescent="0.2"/>
    <row r="51" spans="2:13" outlineLevel="2" x14ac:dyDescent="0.2"/>
    <row r="52" spans="2:13" outlineLevel="2" x14ac:dyDescent="0.2"/>
    <row r="53" spans="2:13" outlineLevel="2" x14ac:dyDescent="0.25">
      <c r="B53" s="5" t="s">
        <v>182</v>
      </c>
    </row>
    <row r="54" spans="2:13" outlineLevel="2" x14ac:dyDescent="0.2"/>
    <row r="55" spans="2:13" outlineLevel="2" x14ac:dyDescent="0.2">
      <c r="C55" s="338" t="s">
        <v>112</v>
      </c>
      <c r="D55" s="338"/>
      <c r="E55" s="338"/>
      <c r="F55" s="338"/>
      <c r="G55" s="338"/>
      <c r="H55" s="338"/>
      <c r="I55" s="338"/>
      <c r="J55" s="338"/>
      <c r="K55" s="338"/>
      <c r="L55" s="338"/>
      <c r="M55" s="338"/>
    </row>
    <row r="56" spans="2:13" outlineLevel="2" x14ac:dyDescent="0.2"/>
    <row r="57" spans="2:13" outlineLevel="2" x14ac:dyDescent="0.2"/>
    <row r="58" spans="2:13" outlineLevel="2" x14ac:dyDescent="0.2"/>
    <row r="59" spans="2:13" outlineLevel="2" x14ac:dyDescent="0.2"/>
    <row r="60" spans="2:13" outlineLevel="2" x14ac:dyDescent="0.2"/>
    <row r="61" spans="2:13" outlineLevel="2" x14ac:dyDescent="0.2"/>
    <row r="62" spans="2:13" outlineLevel="2" x14ac:dyDescent="0.2"/>
    <row r="63" spans="2:13" outlineLevel="2" x14ac:dyDescent="0.2"/>
    <row r="64" spans="2:13" outlineLevel="2" x14ac:dyDescent="0.2"/>
    <row r="65" spans="2:13" outlineLevel="2" x14ac:dyDescent="0.2"/>
    <row r="66" spans="2:13" outlineLevel="2" x14ac:dyDescent="0.2"/>
    <row r="67" spans="2:13" outlineLevel="2" x14ac:dyDescent="0.2"/>
    <row r="68" spans="2:13" outlineLevel="2" x14ac:dyDescent="0.2"/>
    <row r="69" spans="2:13" outlineLevel="2" x14ac:dyDescent="0.2"/>
    <row r="70" spans="2:13" outlineLevel="2" x14ac:dyDescent="0.25">
      <c r="B70" s="5" t="s">
        <v>182</v>
      </c>
    </row>
    <row r="71" spans="2:13" outlineLevel="2" x14ac:dyDescent="0.2"/>
    <row r="72" spans="2:13" outlineLevel="2" x14ac:dyDescent="0.2">
      <c r="C72" s="338" t="s">
        <v>113</v>
      </c>
      <c r="D72" s="338"/>
      <c r="E72" s="338"/>
      <c r="F72" s="338"/>
      <c r="G72" s="338"/>
      <c r="H72" s="338"/>
      <c r="I72" s="338"/>
      <c r="J72" s="338"/>
      <c r="K72" s="338"/>
      <c r="L72" s="338"/>
      <c r="M72" s="338"/>
    </row>
    <row r="73" spans="2:13" outlineLevel="2" x14ac:dyDescent="0.2"/>
    <row r="74" spans="2:13" outlineLevel="2" x14ac:dyDescent="0.2"/>
    <row r="75" spans="2:13" outlineLevel="2" x14ac:dyDescent="0.2"/>
    <row r="76" spans="2:13" outlineLevel="2" x14ac:dyDescent="0.2"/>
    <row r="77" spans="2:13" outlineLevel="2" x14ac:dyDescent="0.2"/>
    <row r="78" spans="2:13" outlineLevel="2" x14ac:dyDescent="0.2"/>
    <row r="79" spans="2:13" outlineLevel="2" x14ac:dyDescent="0.2"/>
    <row r="80" spans="2:13" outlineLevel="2" x14ac:dyDescent="0.2"/>
    <row r="81" spans="1:17" outlineLevel="2" x14ac:dyDescent="0.2"/>
    <row r="82" spans="1:17" outlineLevel="2" x14ac:dyDescent="0.2"/>
    <row r="83" spans="1:17" outlineLevel="2" x14ac:dyDescent="0.2"/>
    <row r="84" spans="1:17" outlineLevel="2" x14ac:dyDescent="0.2"/>
    <row r="85" spans="1:17" outlineLevel="2" x14ac:dyDescent="0.2"/>
    <row r="86" spans="1:17" outlineLevel="2" x14ac:dyDescent="0.2"/>
    <row r="87" spans="1:17" outlineLevel="2" x14ac:dyDescent="0.25">
      <c r="B87" s="5" t="s">
        <v>182</v>
      </c>
    </row>
    <row r="88" spans="1:17" outlineLevel="1" x14ac:dyDescent="0.2"/>
    <row r="90" spans="1:17" ht="21" x14ac:dyDescent="0.2">
      <c r="A90" s="3" t="s">
        <v>182</v>
      </c>
      <c r="B90" s="3" t="s">
        <v>182</v>
      </c>
      <c r="C90" s="334" t="s">
        <v>486</v>
      </c>
      <c r="D90" s="334"/>
      <c r="E90" s="334"/>
      <c r="F90" s="334"/>
      <c r="G90" s="334"/>
      <c r="H90" s="334"/>
      <c r="I90" s="334"/>
      <c r="J90" s="334"/>
      <c r="K90" s="334"/>
      <c r="L90" s="334"/>
      <c r="M90" s="334"/>
    </row>
    <row r="91" spans="1:17" outlineLevel="1" x14ac:dyDescent="0.2"/>
    <row r="92" spans="1:17" outlineLevel="1" x14ac:dyDescent="0.2">
      <c r="C92" s="144" t="s">
        <v>114</v>
      </c>
      <c r="D92" s="333">
        <f>'Ratio Analysis'!C25</f>
        <v>1.19696318940906</v>
      </c>
      <c r="E92" s="333">
        <f>'Ratio Analysis'!D25</f>
        <v>1.2402684563758388</v>
      </c>
      <c r="F92" s="333">
        <f>'Ratio Analysis'!E25</f>
        <v>1.2098966230186079</v>
      </c>
      <c r="G92" s="333">
        <f>'Ratio Analysis'!F25</f>
        <v>1.3311297272702942</v>
      </c>
      <c r="H92" s="333">
        <f>'Ratio Analysis'!G25</f>
        <v>1.2856096476312553</v>
      </c>
      <c r="I92" s="333">
        <f>'Ratio Analysis'!H25</f>
        <v>1.0190440825420402</v>
      </c>
      <c r="J92" s="333">
        <f>'Ratio Analysis'!I25</f>
        <v>0.98234217060874363</v>
      </c>
      <c r="K92" s="333">
        <f>'Ratio Analysis'!J25</f>
        <v>0.87864005473095574</v>
      </c>
      <c r="L92" s="333">
        <f>'Ratio Analysis'!K25</f>
        <v>0.924234248531979</v>
      </c>
      <c r="M92" s="333">
        <f>'Ratio Analysis'!L25</f>
        <v>0.96447935289118136</v>
      </c>
      <c r="Q92" s="3"/>
    </row>
    <row r="93" spans="1:17" outlineLevel="1" x14ac:dyDescent="0.2">
      <c r="C93" s="153" t="s">
        <v>127</v>
      </c>
      <c r="D93" s="154" t="s">
        <v>58</v>
      </c>
      <c r="E93" s="9">
        <f>E92/D92-1</f>
        <v>3.6179280490788113E-2</v>
      </c>
      <c r="F93" s="9">
        <f t="shared" ref="F93:M93" si="4">F92/E92-1</f>
        <v>-2.4488112393005412E-2</v>
      </c>
      <c r="G93" s="9">
        <f t="shared" si="4"/>
        <v>0.10020120888445683</v>
      </c>
      <c r="H93" s="9">
        <f t="shared" si="4"/>
        <v>-3.4196576566872694E-2</v>
      </c>
      <c r="I93" s="9">
        <f t="shared" si="4"/>
        <v>-0.20734564770913477</v>
      </c>
      <c r="J93" s="9">
        <f t="shared" si="4"/>
        <v>-3.6016019877905925E-2</v>
      </c>
      <c r="K93" s="9">
        <f t="shared" si="4"/>
        <v>-0.10556618557210584</v>
      </c>
      <c r="L93" s="9">
        <f t="shared" si="4"/>
        <v>5.1891777020095509E-2</v>
      </c>
      <c r="M93" s="9">
        <f t="shared" si="4"/>
        <v>4.3544268591135138E-2</v>
      </c>
      <c r="Q93" s="3"/>
    </row>
    <row r="94" spans="1:17" outlineLevel="1" x14ac:dyDescent="0.2"/>
    <row r="95" spans="1:17" outlineLevel="1" x14ac:dyDescent="0.2">
      <c r="C95" s="144" t="s">
        <v>115</v>
      </c>
      <c r="D95" s="333">
        <f>'Ratio Analysis'!C26</f>
        <v>1.1438316363911978</v>
      </c>
      <c r="E95" s="333">
        <f>'Ratio Analysis'!D26</f>
        <v>1.1950102130142983</v>
      </c>
      <c r="F95" s="333">
        <f>'Ratio Analysis'!E26</f>
        <v>1.1670847691247415</v>
      </c>
      <c r="G95" s="333">
        <f>'Ratio Analysis'!F26</f>
        <v>1.2887616090785001</v>
      </c>
      <c r="H95" s="333">
        <f>'Ratio Analysis'!G26</f>
        <v>1.2416093337170062</v>
      </c>
      <c r="I95" s="333">
        <f>'Ratio Analysis'!H26</f>
        <v>0.97610206355100526</v>
      </c>
      <c r="J95" s="333">
        <f>'Ratio Analysis'!I26</f>
        <v>0.93689332564147587</v>
      </c>
      <c r="K95" s="333">
        <f>'Ratio Analysis'!J26</f>
        <v>0.82959041018471702</v>
      </c>
      <c r="L95" s="333">
        <f>'Ratio Analysis'!K26</f>
        <v>0.87497222663069352</v>
      </c>
      <c r="M95" s="333">
        <f>'Ratio Analysis'!L26</f>
        <v>0.93045338647753584</v>
      </c>
      <c r="Q95" s="3"/>
    </row>
    <row r="96" spans="1:17" outlineLevel="1" x14ac:dyDescent="0.2">
      <c r="C96" s="153" t="s">
        <v>127</v>
      </c>
      <c r="D96" s="154" t="s">
        <v>58</v>
      </c>
      <c r="E96" s="9">
        <f>E95/D95-1</f>
        <v>4.4743102913790356E-2</v>
      </c>
      <c r="F96" s="9">
        <f t="shared" ref="F96:M96" si="5">F95/E95-1</f>
        <v>-2.3368372575760299E-2</v>
      </c>
      <c r="G96" s="9">
        <f t="shared" si="5"/>
        <v>0.10425707127084749</v>
      </c>
      <c r="H96" s="9">
        <f t="shared" si="5"/>
        <v>-3.6587274969502759E-2</v>
      </c>
      <c r="I96" s="9">
        <f t="shared" si="5"/>
        <v>-0.21384123246814823</v>
      </c>
      <c r="J96" s="9">
        <f t="shared" si="5"/>
        <v>-4.0168686629849071E-2</v>
      </c>
      <c r="K96" s="9">
        <f t="shared" si="5"/>
        <v>-0.11453055809026103</v>
      </c>
      <c r="L96" s="9">
        <f t="shared" si="5"/>
        <v>5.4703882649597801E-2</v>
      </c>
      <c r="M96" s="9">
        <f t="shared" si="5"/>
        <v>6.3409052491285145E-2</v>
      </c>
      <c r="Q96" s="3"/>
    </row>
    <row r="97" spans="2:13" outlineLevel="1" x14ac:dyDescent="0.2"/>
    <row r="98" spans="2:13" ht="15.75" outlineLevel="1" x14ac:dyDescent="0.2">
      <c r="C98" s="155" t="s">
        <v>491</v>
      </c>
      <c r="D98" s="146"/>
      <c r="E98" s="146"/>
      <c r="F98" s="6"/>
      <c r="G98" s="6"/>
      <c r="H98" s="6"/>
      <c r="I98" s="6"/>
      <c r="J98" s="6"/>
      <c r="K98" s="6"/>
      <c r="L98" s="6"/>
      <c r="M98" s="6"/>
    </row>
    <row r="99" spans="2:13" outlineLevel="2" x14ac:dyDescent="0.2">
      <c r="B99" s="3" t="s">
        <v>182</v>
      </c>
    </row>
    <row r="100" spans="2:13" outlineLevel="2" x14ac:dyDescent="0.2">
      <c r="C100" s="338" t="s">
        <v>116</v>
      </c>
      <c r="D100" s="338"/>
      <c r="E100" s="338"/>
      <c r="F100" s="338"/>
      <c r="G100" s="338"/>
      <c r="H100" s="338"/>
      <c r="I100" s="338"/>
      <c r="J100" s="338"/>
      <c r="K100" s="338"/>
      <c r="L100" s="338"/>
      <c r="M100" s="338"/>
    </row>
    <row r="101" spans="2:13" outlineLevel="2" x14ac:dyDescent="0.2"/>
    <row r="102" spans="2:13" outlineLevel="2" x14ac:dyDescent="0.2"/>
    <row r="103" spans="2:13" outlineLevel="2" x14ac:dyDescent="0.2"/>
    <row r="104" spans="2:13" outlineLevel="2" x14ac:dyDescent="0.2"/>
    <row r="105" spans="2:13" outlineLevel="2" x14ac:dyDescent="0.2"/>
    <row r="106" spans="2:13" outlineLevel="2" x14ac:dyDescent="0.2"/>
    <row r="107" spans="2:13" outlineLevel="2" x14ac:dyDescent="0.2"/>
    <row r="108" spans="2:13" outlineLevel="2" x14ac:dyDescent="0.2"/>
    <row r="109" spans="2:13" outlineLevel="2" x14ac:dyDescent="0.2"/>
    <row r="110" spans="2:13" outlineLevel="2" x14ac:dyDescent="0.2"/>
    <row r="111" spans="2:13" outlineLevel="2" x14ac:dyDescent="0.2"/>
    <row r="112" spans="2:13" outlineLevel="2" x14ac:dyDescent="0.2"/>
    <row r="113" spans="2:13" outlineLevel="2" x14ac:dyDescent="0.2"/>
    <row r="114" spans="2:13" outlineLevel="2" x14ac:dyDescent="0.2"/>
    <row r="115" spans="2:13" outlineLevel="2" x14ac:dyDescent="0.2">
      <c r="B115" s="3" t="s">
        <v>182</v>
      </c>
    </row>
    <row r="116" spans="2:13" outlineLevel="2" x14ac:dyDescent="0.2"/>
    <row r="117" spans="2:13" outlineLevel="2" x14ac:dyDescent="0.2">
      <c r="C117" s="338" t="s">
        <v>117</v>
      </c>
      <c r="D117" s="338"/>
      <c r="E117" s="338"/>
      <c r="F117" s="338"/>
      <c r="G117" s="338"/>
      <c r="H117" s="338"/>
      <c r="I117" s="338"/>
      <c r="J117" s="338"/>
      <c r="K117" s="338"/>
      <c r="L117" s="338"/>
      <c r="M117" s="338"/>
    </row>
    <row r="118" spans="2:13" outlineLevel="2" x14ac:dyDescent="0.2"/>
    <row r="119" spans="2:13" outlineLevel="2" x14ac:dyDescent="0.2"/>
    <row r="120" spans="2:13" outlineLevel="2" x14ac:dyDescent="0.2"/>
    <row r="121" spans="2:13" outlineLevel="2" x14ac:dyDescent="0.2"/>
    <row r="122" spans="2:13" outlineLevel="2" x14ac:dyDescent="0.2"/>
    <row r="123" spans="2:13" outlineLevel="2" x14ac:dyDescent="0.2"/>
    <row r="124" spans="2:13" outlineLevel="2" x14ac:dyDescent="0.2"/>
    <row r="125" spans="2:13" outlineLevel="2" x14ac:dyDescent="0.2"/>
    <row r="126" spans="2:13" outlineLevel="2" x14ac:dyDescent="0.2"/>
    <row r="127" spans="2:13" outlineLevel="2" x14ac:dyDescent="0.2"/>
    <row r="128" spans="2:13" outlineLevel="2" x14ac:dyDescent="0.2"/>
    <row r="129" spans="1:17" outlineLevel="2" x14ac:dyDescent="0.2"/>
    <row r="130" spans="1:17" outlineLevel="2" x14ac:dyDescent="0.2"/>
    <row r="131" spans="1:17" outlineLevel="2" x14ac:dyDescent="0.2"/>
    <row r="132" spans="1:17" outlineLevel="2" x14ac:dyDescent="0.2">
      <c r="B132" s="3" t="s">
        <v>182</v>
      </c>
    </row>
    <row r="133" spans="1:17" outlineLevel="1" x14ac:dyDescent="0.2"/>
    <row r="135" spans="1:17" ht="21" x14ac:dyDescent="0.25">
      <c r="A135" s="5" t="s">
        <v>182</v>
      </c>
      <c r="B135" s="5" t="s">
        <v>182</v>
      </c>
      <c r="C135" s="334" t="s">
        <v>487</v>
      </c>
      <c r="D135" s="334"/>
      <c r="E135" s="334"/>
      <c r="F135" s="334"/>
      <c r="G135" s="334"/>
      <c r="H135" s="334"/>
      <c r="I135" s="334"/>
      <c r="J135" s="334"/>
      <c r="K135" s="334"/>
      <c r="L135" s="334"/>
      <c r="M135" s="334"/>
    </row>
    <row r="136" spans="1:17" outlineLevel="1" x14ac:dyDescent="0.2"/>
    <row r="137" spans="1:17" outlineLevel="1" x14ac:dyDescent="0.2">
      <c r="C137" s="144" t="s">
        <v>118</v>
      </c>
      <c r="D137" s="333">
        <f>'Ratio Analysis'!C22</f>
        <v>8.8682281573847845</v>
      </c>
      <c r="E137" s="333">
        <f>'Ratio Analysis'!D22</f>
        <v>6.7366944814529139</v>
      </c>
      <c r="F137" s="333">
        <f>'Ratio Analysis'!E22</f>
        <v>5.4301216705031239</v>
      </c>
      <c r="G137" s="333">
        <f>'Ratio Analysis'!F22</f>
        <v>6.1178309554936625</v>
      </c>
      <c r="H137" s="333">
        <f>'Ratio Analysis'!G22</f>
        <v>6.3383149746948497</v>
      </c>
      <c r="I137" s="333">
        <f>'Ratio Analysis'!H22</f>
        <v>6.2953793004174461</v>
      </c>
      <c r="J137" s="333">
        <f>'Ratio Analysis'!I22</f>
        <v>6.5662475117735593</v>
      </c>
      <c r="K137" s="333">
        <f>'Ratio Analysis'!J22</f>
        <v>5.9787841913126289</v>
      </c>
      <c r="L137" s="333">
        <f>'Ratio Analysis'!K22</f>
        <v>4.7950236966824642</v>
      </c>
      <c r="M137" s="333">
        <f>'Ratio Analysis'!L22</f>
        <v>4.9980473950474842</v>
      </c>
      <c r="Q137" s="3"/>
    </row>
    <row r="138" spans="1:17" outlineLevel="1" x14ac:dyDescent="0.2">
      <c r="C138" s="153" t="s">
        <v>127</v>
      </c>
      <c r="D138" s="154" t="s">
        <v>58</v>
      </c>
      <c r="E138" s="9">
        <f>E137/D137-1</f>
        <v>-0.24035620623460074</v>
      </c>
      <c r="F138" s="9">
        <f t="shared" ref="F138:M138" si="6">F137/E137-1</f>
        <v>-0.1939486516045773</v>
      </c>
      <c r="G138" s="9">
        <f t="shared" si="6"/>
        <v>0.12664712260983646</v>
      </c>
      <c r="H138" s="9">
        <f t="shared" si="6"/>
        <v>3.6039573634050415E-2</v>
      </c>
      <c r="I138" s="9">
        <f t="shared" si="6"/>
        <v>-6.7739887413011957E-3</v>
      </c>
      <c r="J138" s="9">
        <f t="shared" si="6"/>
        <v>4.302651173665617E-2</v>
      </c>
      <c r="K138" s="9">
        <f t="shared" si="6"/>
        <v>-8.9467130108571769E-2</v>
      </c>
      <c r="L138" s="9">
        <f t="shared" si="6"/>
        <v>-0.19799351452594793</v>
      </c>
      <c r="M138" s="9">
        <f t="shared" si="6"/>
        <v>4.2340499486058114E-2</v>
      </c>
      <c r="Q138" s="3"/>
    </row>
    <row r="139" spans="1:17" outlineLevel="1" x14ac:dyDescent="0.2"/>
    <row r="140" spans="1:17" outlineLevel="1" x14ac:dyDescent="0.2">
      <c r="C140" s="3" t="str">
        <f>'Ratio Analysis'!B23</f>
        <v>Interest Coverage Ratio</v>
      </c>
      <c r="D140" s="333">
        <f>'Ratio Analysis'!C23</f>
        <v>36.756198347107436</v>
      </c>
      <c r="E140" s="333">
        <f>'Ratio Analysis'!D23</f>
        <v>32.068376068376068</v>
      </c>
      <c r="F140" s="333">
        <f>'Ratio Analysis'!E23</f>
        <v>18.925396825396824</v>
      </c>
      <c r="G140" s="333">
        <f>'Ratio Analysis'!F23</f>
        <v>18.980487804878049</v>
      </c>
      <c r="H140" s="333">
        <f>'Ratio Analysis'!G23</f>
        <v>16.863070539419088</v>
      </c>
      <c r="I140" s="333">
        <f>'Ratio Analysis'!H23</f>
        <v>5.1339285714285712</v>
      </c>
      <c r="J140" s="333">
        <f>'Ratio Analysis'!I23</f>
        <v>3.1381987577639752</v>
      </c>
      <c r="K140" s="333">
        <f>'Ratio Analysis'!J23</f>
        <v>5.4138528138528139</v>
      </c>
      <c r="L140" s="333">
        <f>'Ratio Analysis'!K23</f>
        <v>6.1776315789473681</v>
      </c>
      <c r="M140" s="333">
        <f>'Ratio Analysis'!L23</f>
        <v>5.3030491599253269</v>
      </c>
    </row>
    <row r="141" spans="1:17" outlineLevel="1" x14ac:dyDescent="0.2">
      <c r="C141" s="153" t="s">
        <v>127</v>
      </c>
      <c r="D141" s="154" t="s">
        <v>58</v>
      </c>
      <c r="E141" s="9">
        <f>E140/D140-1</f>
        <v>-0.12753827897166847</v>
      </c>
      <c r="F141" s="9">
        <f t="shared" ref="F141:M141" si="7">F140/E140-1</f>
        <v>-0.40984236978373445</v>
      </c>
      <c r="G141" s="9">
        <f t="shared" si="7"/>
        <v>2.910955051008246E-3</v>
      </c>
      <c r="H141" s="9">
        <f t="shared" si="7"/>
        <v>-0.11155757887923079</v>
      </c>
      <c r="I141" s="9">
        <f t="shared" si="7"/>
        <v>-0.69555197201912256</v>
      </c>
      <c r="J141" s="9">
        <f t="shared" si="7"/>
        <v>-0.38873345935727788</v>
      </c>
      <c r="K141" s="9">
        <f t="shared" si="7"/>
        <v>0.72514656710599312</v>
      </c>
      <c r="L141" s="9">
        <f t="shared" si="7"/>
        <v>0.14107859806240364</v>
      </c>
      <c r="M141" s="9">
        <f t="shared" si="7"/>
        <v>-0.14157244695564464</v>
      </c>
    </row>
    <row r="142" spans="1:17" outlineLevel="1" x14ac:dyDescent="0.2"/>
    <row r="143" spans="1:17" ht="15.75" outlineLevel="1" x14ac:dyDescent="0.2">
      <c r="C143" s="155" t="s">
        <v>492</v>
      </c>
      <c r="D143" s="146"/>
      <c r="E143" s="146"/>
      <c r="F143" s="6"/>
      <c r="G143" s="6"/>
      <c r="H143" s="6"/>
      <c r="I143" s="6"/>
      <c r="J143" s="6"/>
      <c r="K143" s="6"/>
      <c r="L143" s="6"/>
      <c r="M143" s="6"/>
    </row>
    <row r="144" spans="1:17" outlineLevel="2" x14ac:dyDescent="0.2">
      <c r="B144" s="3" t="s">
        <v>182</v>
      </c>
    </row>
    <row r="145" spans="2:13" outlineLevel="2" x14ac:dyDescent="0.2">
      <c r="C145" s="338" t="s">
        <v>120</v>
      </c>
      <c r="D145" s="338"/>
      <c r="E145" s="338"/>
      <c r="F145" s="338"/>
      <c r="G145" s="338"/>
      <c r="H145" s="338"/>
      <c r="I145" s="338"/>
      <c r="J145" s="338"/>
      <c r="K145" s="338"/>
      <c r="L145" s="338"/>
      <c r="M145" s="338"/>
    </row>
    <row r="146" spans="2:13" outlineLevel="2" x14ac:dyDescent="0.2"/>
    <row r="147" spans="2:13" outlineLevel="2" x14ac:dyDescent="0.2"/>
    <row r="148" spans="2:13" outlineLevel="2" x14ac:dyDescent="0.2"/>
    <row r="149" spans="2:13" outlineLevel="2" x14ac:dyDescent="0.2"/>
    <row r="150" spans="2:13" outlineLevel="2" x14ac:dyDescent="0.2"/>
    <row r="151" spans="2:13" outlineLevel="2" x14ac:dyDescent="0.2"/>
    <row r="152" spans="2:13" outlineLevel="2" x14ac:dyDescent="0.2"/>
    <row r="153" spans="2:13" outlineLevel="2" x14ac:dyDescent="0.2"/>
    <row r="154" spans="2:13" outlineLevel="2" x14ac:dyDescent="0.2"/>
    <row r="155" spans="2:13" outlineLevel="2" x14ac:dyDescent="0.2"/>
    <row r="156" spans="2:13" outlineLevel="2" x14ac:dyDescent="0.2"/>
    <row r="157" spans="2:13" outlineLevel="2" x14ac:dyDescent="0.2"/>
    <row r="158" spans="2:13" outlineLevel="2" x14ac:dyDescent="0.2"/>
    <row r="159" spans="2:13" outlineLevel="2" x14ac:dyDescent="0.2"/>
    <row r="160" spans="2:13" outlineLevel="2" x14ac:dyDescent="0.2">
      <c r="B160" s="3" t="s">
        <v>182</v>
      </c>
    </row>
    <row r="161" spans="3:13" outlineLevel="2" x14ac:dyDescent="0.2"/>
    <row r="162" spans="3:13" outlineLevel="2" x14ac:dyDescent="0.2">
      <c r="C162" s="338" t="s">
        <v>121</v>
      </c>
      <c r="D162" s="338"/>
      <c r="E162" s="338"/>
      <c r="F162" s="338"/>
      <c r="G162" s="338"/>
      <c r="H162" s="338"/>
      <c r="I162" s="338"/>
      <c r="J162" s="338"/>
      <c r="K162" s="338"/>
      <c r="L162" s="338"/>
      <c r="M162" s="338"/>
    </row>
    <row r="163" spans="3:13" outlineLevel="2" x14ac:dyDescent="0.2"/>
    <row r="164" spans="3:13" outlineLevel="2" x14ac:dyDescent="0.2"/>
    <row r="165" spans="3:13" outlineLevel="2" x14ac:dyDescent="0.2"/>
    <row r="166" spans="3:13" outlineLevel="2" x14ac:dyDescent="0.2"/>
    <row r="167" spans="3:13" outlineLevel="2" x14ac:dyDescent="0.2"/>
    <row r="168" spans="3:13" outlineLevel="2" x14ac:dyDescent="0.2"/>
    <row r="169" spans="3:13" outlineLevel="2" x14ac:dyDescent="0.2"/>
    <row r="170" spans="3:13" outlineLevel="2" x14ac:dyDescent="0.2"/>
    <row r="171" spans="3:13" outlineLevel="2" x14ac:dyDescent="0.2"/>
    <row r="172" spans="3:13" outlineLevel="2" x14ac:dyDescent="0.2"/>
    <row r="173" spans="3:13" outlineLevel="2" x14ac:dyDescent="0.2"/>
    <row r="174" spans="3:13" outlineLevel="2" x14ac:dyDescent="0.2"/>
    <row r="175" spans="3:13" outlineLevel="2" x14ac:dyDescent="0.2"/>
    <row r="176" spans="3:13" outlineLevel="2" x14ac:dyDescent="0.2"/>
    <row r="177" spans="1:13" outlineLevel="2" x14ac:dyDescent="0.2">
      <c r="B177" s="3" t="s">
        <v>182</v>
      </c>
    </row>
    <row r="178" spans="1:13" outlineLevel="1" x14ac:dyDescent="0.2"/>
    <row r="180" spans="1:13" ht="21" x14ac:dyDescent="0.25">
      <c r="A180" s="5" t="s">
        <v>182</v>
      </c>
      <c r="B180" s="5" t="s">
        <v>182</v>
      </c>
      <c r="C180" s="334" t="s">
        <v>488</v>
      </c>
      <c r="D180" s="6"/>
      <c r="E180" s="6"/>
      <c r="F180" s="6"/>
      <c r="G180" s="6"/>
      <c r="H180" s="6"/>
      <c r="I180" s="6"/>
      <c r="J180" s="6"/>
      <c r="K180" s="6"/>
      <c r="L180" s="6"/>
      <c r="M180" s="6"/>
    </row>
    <row r="181" spans="1:13" outlineLevel="1" x14ac:dyDescent="0.2"/>
    <row r="182" spans="1:13" outlineLevel="1" x14ac:dyDescent="0.2">
      <c r="C182" s="3" t="str">
        <f>'Ratio Analysis'!B31</f>
        <v>Fixed Asset Turnover Ratio</v>
      </c>
      <c r="D182" s="333">
        <f>'Ratio Analysis'!C31</f>
        <v>8.6150775229783676</v>
      </c>
      <c r="E182" s="333">
        <f>'Ratio Analysis'!D31</f>
        <v>7.6202106833224574</v>
      </c>
      <c r="F182" s="333">
        <f>'Ratio Analysis'!E31</f>
        <v>7.379501385041551</v>
      </c>
      <c r="G182" s="333">
        <f>'Ratio Analysis'!F31</f>
        <v>7.119377473911479</v>
      </c>
      <c r="H182" s="333">
        <f>'Ratio Analysis'!G31</f>
        <v>7.375</v>
      </c>
      <c r="I182" s="333">
        <f>'Ratio Analysis'!H31</f>
        <v>5.7656343656343658</v>
      </c>
      <c r="J182" s="333">
        <f>'Ratio Analysis'!I31</f>
        <v>8.8926672038678483</v>
      </c>
      <c r="K182" s="333">
        <f>'Ratio Analysis'!J31</f>
        <v>10.07218124341412</v>
      </c>
      <c r="L182" s="333">
        <f>'Ratio Analysis'!K31</f>
        <v>11.347956505436821</v>
      </c>
      <c r="M182" s="333">
        <f>'Ratio Analysis'!L31</f>
        <v>11.245228140338121</v>
      </c>
    </row>
    <row r="183" spans="1:13" outlineLevel="1" x14ac:dyDescent="0.2">
      <c r="C183" s="153" t="s">
        <v>127</v>
      </c>
      <c r="D183" s="154" t="s">
        <v>58</v>
      </c>
      <c r="E183" s="9">
        <f>E182/D182-1</f>
        <v>-0.11547973155231328</v>
      </c>
      <c r="F183" s="9">
        <f t="shared" ref="F183:M183" si="8">F182/E182-1</f>
        <v>-3.1588273380383169E-2</v>
      </c>
      <c r="G183" s="9">
        <f t="shared" si="8"/>
        <v>-3.5249523993226672E-2</v>
      </c>
      <c r="H183" s="9">
        <f t="shared" si="8"/>
        <v>3.5905179494307493E-2</v>
      </c>
      <c r="I183" s="9">
        <f t="shared" si="8"/>
        <v>-0.21821906906652666</v>
      </c>
      <c r="J183" s="9">
        <f t="shared" si="8"/>
        <v>0.54235711804271336</v>
      </c>
      <c r="K183" s="9">
        <f t="shared" si="8"/>
        <v>0.13263894987920422</v>
      </c>
      <c r="L183" s="9">
        <f t="shared" si="8"/>
        <v>0.12666325507763188</v>
      </c>
      <c r="M183" s="9">
        <f t="shared" si="8"/>
        <v>-9.0525871375594091E-3</v>
      </c>
    </row>
    <row r="184" spans="1:13" outlineLevel="1" x14ac:dyDescent="0.2"/>
    <row r="185" spans="1:13" outlineLevel="1" x14ac:dyDescent="0.2">
      <c r="C185" s="3" t="str">
        <f>'Ratio Analysis'!B30</f>
        <v>Inventory Turnover Ratio</v>
      </c>
      <c r="D185" s="333">
        <f>'Ratio Analysis'!C30</f>
        <v>21.022433718558805</v>
      </c>
      <c r="E185" s="333">
        <f>'Ratio Analysis'!D30</f>
        <v>22.472359058565957</v>
      </c>
      <c r="F185" s="333">
        <f>'Ratio Analysis'!E30</f>
        <v>26.676546391752577</v>
      </c>
      <c r="G185" s="333">
        <f>'Ratio Analysis'!F30</f>
        <v>26.910714285714285</v>
      </c>
      <c r="H185" s="333">
        <f>'Ratio Analysis'!G30</f>
        <v>26.128024502297091</v>
      </c>
      <c r="I185" s="333">
        <f>'Ratio Analysis'!H30</f>
        <v>15.86186004241139</v>
      </c>
      <c r="J185" s="333">
        <f>'Ratio Analysis'!I30</f>
        <v>14.173127368114253</v>
      </c>
      <c r="K185" s="333">
        <f>'Ratio Analysis'!J30</f>
        <v>14.946547240681884</v>
      </c>
      <c r="L185" s="333">
        <f>'Ratio Analysis'!K30</f>
        <v>17.395813808184943</v>
      </c>
      <c r="M185" s="333">
        <f>'Ratio Analysis'!L30</f>
        <v>20.316992259491339</v>
      </c>
    </row>
    <row r="186" spans="1:13" outlineLevel="1" x14ac:dyDescent="0.2">
      <c r="C186" s="153" t="s">
        <v>127</v>
      </c>
      <c r="D186" s="154" t="s">
        <v>58</v>
      </c>
      <c r="E186" s="9">
        <f>E185/D185-1</f>
        <v>6.8970384657564443E-2</v>
      </c>
      <c r="F186" s="9">
        <f t="shared" ref="F186:M186" si="9">F185/E185-1</f>
        <v>0.18708259877078093</v>
      </c>
      <c r="G186" s="9">
        <f t="shared" si="9"/>
        <v>8.7780438488134216E-3</v>
      </c>
      <c r="H186" s="9">
        <f t="shared" si="9"/>
        <v>-2.908469002744718E-2</v>
      </c>
      <c r="I186" s="9">
        <f t="shared" si="9"/>
        <v>-0.39291774466083851</v>
      </c>
      <c r="J186" s="9">
        <f t="shared" si="9"/>
        <v>-0.10646498391625003</v>
      </c>
      <c r="K186" s="9">
        <f t="shared" si="9"/>
        <v>5.4569457571348678E-2</v>
      </c>
      <c r="L186" s="9">
        <f t="shared" si="9"/>
        <v>0.16386838565876838</v>
      </c>
      <c r="M186" s="9">
        <f t="shared" si="9"/>
        <v>0.16792421921255252</v>
      </c>
    </row>
    <row r="187" spans="1:13" outlineLevel="1" x14ac:dyDescent="0.2"/>
    <row r="188" spans="1:13" ht="15.75" outlineLevel="1" x14ac:dyDescent="0.2">
      <c r="C188" s="155" t="s">
        <v>493</v>
      </c>
      <c r="D188" s="146"/>
      <c r="E188" s="146"/>
      <c r="F188" s="6"/>
      <c r="G188" s="6"/>
      <c r="H188" s="6"/>
      <c r="I188" s="6"/>
      <c r="J188" s="6"/>
      <c r="K188" s="6"/>
      <c r="L188" s="6"/>
      <c r="M188" s="6"/>
    </row>
    <row r="189" spans="1:13" outlineLevel="2" x14ac:dyDescent="0.2">
      <c r="B189" s="3" t="s">
        <v>182</v>
      </c>
    </row>
    <row r="190" spans="1:13" outlineLevel="2" x14ac:dyDescent="0.2">
      <c r="C190" s="338" t="s">
        <v>123</v>
      </c>
      <c r="D190" s="338"/>
      <c r="E190" s="338"/>
      <c r="F190" s="338"/>
      <c r="G190" s="338"/>
      <c r="H190" s="338"/>
      <c r="I190" s="338"/>
      <c r="J190" s="338"/>
      <c r="K190" s="338"/>
      <c r="L190" s="338"/>
      <c r="M190" s="338"/>
    </row>
    <row r="191" spans="1:13" outlineLevel="2" x14ac:dyDescent="0.2"/>
    <row r="192" spans="1:13" outlineLevel="2" x14ac:dyDescent="0.2"/>
    <row r="193" spans="2:13" outlineLevel="2" x14ac:dyDescent="0.2"/>
    <row r="194" spans="2:13" outlineLevel="2" x14ac:dyDescent="0.2"/>
    <row r="195" spans="2:13" outlineLevel="2" x14ac:dyDescent="0.2"/>
    <row r="196" spans="2:13" outlineLevel="2" x14ac:dyDescent="0.2"/>
    <row r="197" spans="2:13" outlineLevel="2" x14ac:dyDescent="0.2"/>
    <row r="198" spans="2:13" outlineLevel="2" x14ac:dyDescent="0.2"/>
    <row r="199" spans="2:13" outlineLevel="2" x14ac:dyDescent="0.2"/>
    <row r="200" spans="2:13" outlineLevel="2" x14ac:dyDescent="0.2"/>
    <row r="201" spans="2:13" outlineLevel="2" x14ac:dyDescent="0.2"/>
    <row r="202" spans="2:13" outlineLevel="2" x14ac:dyDescent="0.2"/>
    <row r="203" spans="2:13" outlineLevel="2" x14ac:dyDescent="0.2"/>
    <row r="204" spans="2:13" outlineLevel="2" x14ac:dyDescent="0.2"/>
    <row r="205" spans="2:13" outlineLevel="2" x14ac:dyDescent="0.2">
      <c r="B205" s="3" t="s">
        <v>182</v>
      </c>
    </row>
    <row r="206" spans="2:13" outlineLevel="2" x14ac:dyDescent="0.2"/>
    <row r="207" spans="2:13" outlineLevel="2" x14ac:dyDescent="0.2">
      <c r="C207" s="338" t="s">
        <v>124</v>
      </c>
      <c r="D207" s="338"/>
      <c r="E207" s="338"/>
      <c r="F207" s="338"/>
      <c r="G207" s="338"/>
      <c r="H207" s="338"/>
      <c r="I207" s="338"/>
      <c r="J207" s="338"/>
      <c r="K207" s="338"/>
      <c r="L207" s="338"/>
      <c r="M207" s="338"/>
    </row>
    <row r="208" spans="2:13" outlineLevel="2" x14ac:dyDescent="0.2"/>
    <row r="209" spans="2:2" outlineLevel="2" x14ac:dyDescent="0.2"/>
    <row r="210" spans="2:2" outlineLevel="2" x14ac:dyDescent="0.2"/>
    <row r="211" spans="2:2" outlineLevel="2" x14ac:dyDescent="0.2"/>
    <row r="212" spans="2:2" outlineLevel="2" x14ac:dyDescent="0.2"/>
    <row r="213" spans="2:2" outlineLevel="2" x14ac:dyDescent="0.2"/>
    <row r="214" spans="2:2" outlineLevel="2" x14ac:dyDescent="0.2"/>
    <row r="215" spans="2:2" outlineLevel="2" x14ac:dyDescent="0.2"/>
    <row r="216" spans="2:2" outlineLevel="2" x14ac:dyDescent="0.2"/>
    <row r="217" spans="2:2" outlineLevel="2" x14ac:dyDescent="0.2"/>
    <row r="218" spans="2:2" outlineLevel="2" x14ac:dyDescent="0.2"/>
    <row r="219" spans="2:2" outlineLevel="2" x14ac:dyDescent="0.2"/>
    <row r="220" spans="2:2" outlineLevel="2" x14ac:dyDescent="0.2"/>
    <row r="221" spans="2:2" outlineLevel="2" x14ac:dyDescent="0.2"/>
    <row r="222" spans="2:2" outlineLevel="2" x14ac:dyDescent="0.2">
      <c r="B222" s="3" t="s">
        <v>182</v>
      </c>
    </row>
    <row r="223" spans="2:2" outlineLevel="1" x14ac:dyDescent="0.2"/>
    <row r="224" spans="2:2" outlineLevel="1" x14ac:dyDescent="0.2"/>
    <row r="225" spans="1:2" outlineLevel="1" x14ac:dyDescent="0.2"/>
    <row r="226" spans="1:2" outlineLevel="1" x14ac:dyDescent="0.2"/>
    <row r="227" spans="1:2" outlineLevel="1" x14ac:dyDescent="0.2">
      <c r="A227" s="3" t="s">
        <v>182</v>
      </c>
      <c r="B227" s="3" t="s">
        <v>182</v>
      </c>
    </row>
    <row r="228" spans="1:2" outlineLevel="1" x14ac:dyDescent="0.2"/>
  </sheetData>
  <mergeCells count="11">
    <mergeCell ref="C100:M100"/>
    <mergeCell ref="C190:M190"/>
    <mergeCell ref="C207:M207"/>
    <mergeCell ref="C117:M117"/>
    <mergeCell ref="C145:M145"/>
    <mergeCell ref="C162:M162"/>
    <mergeCell ref="C2:M2"/>
    <mergeCell ref="C21:M21"/>
    <mergeCell ref="C38:M38"/>
    <mergeCell ref="C55:M55"/>
    <mergeCell ref="C72:M72"/>
  </mergeCells>
  <pageMargins left="0.7" right="0.7" top="0.75" bottom="0.75" header="0.3" footer="0.3"/>
  <pageSetup paperSize="9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A1"/>
  <sheetViews>
    <sheetView workbookViewId="0">
      <selection activeCell="J12" sqref="J12"/>
    </sheetView>
  </sheetViews>
  <sheetFormatPr defaultRowHeight="12.75" x14ac:dyDescent="0.2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showGridLines="0" zoomScaleNormal="100" workbookViewId="0">
      <selection sqref="A1:K1"/>
    </sheetView>
  </sheetViews>
  <sheetFormatPr defaultRowHeight="15" x14ac:dyDescent="0.2"/>
  <cols>
    <col min="1" max="1" width="66.83203125" style="84" customWidth="1"/>
    <col min="2" max="2" width="15.33203125" style="84" customWidth="1"/>
    <col min="3" max="11" width="15.33203125" style="3" customWidth="1"/>
    <col min="12" max="16384" width="9.33203125" style="3"/>
  </cols>
  <sheetData>
    <row r="1" spans="1:14" ht="49.5" customHeight="1" thickBot="1" x14ac:dyDescent="0.25">
      <c r="A1" s="342" t="s">
        <v>256</v>
      </c>
      <c r="B1" s="343"/>
      <c r="C1" s="343"/>
      <c r="D1" s="343"/>
      <c r="E1" s="343"/>
      <c r="F1" s="343"/>
      <c r="G1" s="343"/>
      <c r="H1" s="343"/>
      <c r="I1" s="343"/>
      <c r="J1" s="343"/>
      <c r="K1" s="344"/>
    </row>
    <row r="2" spans="1:14" ht="15.75" thickBot="1" x14ac:dyDescent="0.25">
      <c r="A2" s="46" t="s">
        <v>257</v>
      </c>
      <c r="B2" s="47">
        <v>2014</v>
      </c>
      <c r="C2" s="47">
        <v>2015</v>
      </c>
      <c r="D2" s="47">
        <v>2016</v>
      </c>
      <c r="E2" s="47">
        <v>2017</v>
      </c>
      <c r="F2" s="47">
        <v>2018</v>
      </c>
      <c r="G2" s="47">
        <v>2019</v>
      </c>
      <c r="H2" s="47">
        <v>2020</v>
      </c>
      <c r="I2" s="47">
        <v>2021</v>
      </c>
      <c r="J2" s="47">
        <v>2022</v>
      </c>
      <c r="K2" s="48">
        <v>2023</v>
      </c>
    </row>
    <row r="3" spans="1:14" x14ac:dyDescent="0.2">
      <c r="A3" s="49" t="s">
        <v>258</v>
      </c>
      <c r="B3" s="50"/>
      <c r="C3" s="50"/>
      <c r="D3" s="50"/>
      <c r="E3" s="50"/>
      <c r="F3" s="50"/>
      <c r="G3" s="50"/>
      <c r="H3" s="50"/>
      <c r="I3" s="50"/>
      <c r="J3" s="50"/>
      <c r="K3" s="51"/>
    </row>
    <row r="4" spans="1:14" x14ac:dyDescent="0.2">
      <c r="A4" s="52" t="s">
        <v>259</v>
      </c>
      <c r="B4" s="53">
        <v>55673</v>
      </c>
      <c r="C4" s="53">
        <v>49911</v>
      </c>
      <c r="D4" s="53">
        <v>51268</v>
      </c>
      <c r="E4" s="53">
        <v>48652</v>
      </c>
      <c r="F4" s="53">
        <v>49257</v>
      </c>
      <c r="G4" s="53">
        <v>29141</v>
      </c>
      <c r="H4" s="53">
        <v>27626</v>
      </c>
      <c r="I4" s="53">
        <v>29225</v>
      </c>
      <c r="J4" s="53">
        <v>30206</v>
      </c>
      <c r="K4" s="54">
        <v>30378</v>
      </c>
    </row>
    <row r="5" spans="1:14" x14ac:dyDescent="0.2">
      <c r="A5" s="52" t="s">
        <v>260</v>
      </c>
      <c r="B5" s="53">
        <v>35063</v>
      </c>
      <c r="C5" s="53">
        <v>29967</v>
      </c>
      <c r="D5" s="53">
        <v>26942</v>
      </c>
      <c r="E5" s="53">
        <v>28772</v>
      </c>
      <c r="F5" s="53">
        <v>28735</v>
      </c>
      <c r="G5" s="53">
        <v>27357</v>
      </c>
      <c r="H5" s="53">
        <v>26569</v>
      </c>
      <c r="I5" s="53">
        <v>27346</v>
      </c>
      <c r="J5" s="53">
        <v>29673</v>
      </c>
      <c r="K5" s="54">
        <v>30745</v>
      </c>
    </row>
    <row r="6" spans="1:14" x14ac:dyDescent="0.2">
      <c r="A6" s="52" t="s">
        <v>261</v>
      </c>
      <c r="B6" s="53">
        <v>2057</v>
      </c>
      <c r="C6" s="53">
        <v>1864</v>
      </c>
      <c r="D6" s="53">
        <v>1710</v>
      </c>
      <c r="E6" s="53">
        <v>1715</v>
      </c>
      <c r="F6" s="53">
        <v>1599</v>
      </c>
      <c r="G6" s="53">
        <v>1216</v>
      </c>
      <c r="H6" s="53">
        <v>984</v>
      </c>
      <c r="I6" s="53">
        <v>780</v>
      </c>
      <c r="J6" s="53">
        <v>651</v>
      </c>
      <c r="K6" s="54">
        <v>737</v>
      </c>
    </row>
    <row r="7" spans="1:14" x14ac:dyDescent="0.2">
      <c r="A7" s="55" t="s">
        <v>262</v>
      </c>
      <c r="B7" s="56">
        <v>92793</v>
      </c>
      <c r="C7" s="56">
        <v>81742</v>
      </c>
      <c r="D7" s="56">
        <v>79920</v>
      </c>
      <c r="E7" s="56">
        <v>79139</v>
      </c>
      <c r="F7" s="56">
        <v>79591</v>
      </c>
      <c r="G7" s="56">
        <v>57714</v>
      </c>
      <c r="H7" s="56">
        <v>55179</v>
      </c>
      <c r="I7" s="56">
        <v>57351</v>
      </c>
      <c r="J7" s="56">
        <v>60530</v>
      </c>
      <c r="K7" s="57">
        <v>61860</v>
      </c>
    </row>
    <row r="8" spans="1:14" x14ac:dyDescent="0.2">
      <c r="A8" s="49" t="s">
        <v>263</v>
      </c>
      <c r="B8" s="50"/>
      <c r="C8" s="50"/>
      <c r="D8" s="50"/>
      <c r="E8" s="50"/>
      <c r="F8" s="50"/>
      <c r="G8" s="50"/>
      <c r="H8" s="50"/>
      <c r="I8" s="50"/>
      <c r="J8" s="50"/>
      <c r="K8" s="51"/>
    </row>
    <row r="9" spans="1:14" x14ac:dyDescent="0.2">
      <c r="A9" s="52" t="s">
        <v>259</v>
      </c>
      <c r="B9" s="53">
        <v>36034</v>
      </c>
      <c r="C9" s="53">
        <v>33126</v>
      </c>
      <c r="D9" s="53">
        <v>33792</v>
      </c>
      <c r="E9" s="53">
        <v>33399</v>
      </c>
      <c r="F9" s="53">
        <v>33687</v>
      </c>
      <c r="G9" s="53">
        <v>19009</v>
      </c>
      <c r="H9" s="53">
        <v>17689</v>
      </c>
      <c r="I9" s="53">
        <v>19147</v>
      </c>
      <c r="J9" s="53">
        <v>21062</v>
      </c>
      <c r="K9" s="54">
        <v>21051</v>
      </c>
    </row>
    <row r="10" spans="1:14" x14ac:dyDescent="0.2">
      <c r="A10" s="52" t="s">
        <v>260</v>
      </c>
      <c r="B10" s="53">
        <v>9312</v>
      </c>
      <c r="C10" s="53">
        <v>6920</v>
      </c>
      <c r="D10" s="53">
        <v>6566</v>
      </c>
      <c r="E10" s="53">
        <v>7587</v>
      </c>
      <c r="F10" s="53">
        <v>7835</v>
      </c>
      <c r="G10" s="53">
        <v>6467</v>
      </c>
      <c r="H10" s="53">
        <v>6048</v>
      </c>
      <c r="I10" s="53">
        <v>6184</v>
      </c>
      <c r="J10" s="53">
        <v>6374</v>
      </c>
      <c r="K10" s="54">
        <v>6127</v>
      </c>
    </row>
    <row r="11" spans="1:14" x14ac:dyDescent="0.2">
      <c r="A11" s="52" t="s">
        <v>261</v>
      </c>
      <c r="B11" s="53">
        <v>1040</v>
      </c>
      <c r="C11" s="53">
        <v>1011</v>
      </c>
      <c r="D11" s="53">
        <v>1044</v>
      </c>
      <c r="E11" s="53">
        <v>1210</v>
      </c>
      <c r="F11" s="53">
        <v>1132</v>
      </c>
      <c r="G11" s="53">
        <v>704</v>
      </c>
      <c r="H11" s="53">
        <v>577</v>
      </c>
      <c r="I11" s="53">
        <v>534</v>
      </c>
      <c r="J11" s="53">
        <v>406</v>
      </c>
      <c r="K11" s="54">
        <v>382</v>
      </c>
    </row>
    <row r="12" spans="1:14" ht="15.75" thickBot="1" x14ac:dyDescent="0.25">
      <c r="A12" s="58" t="s">
        <v>264</v>
      </c>
      <c r="B12" s="59">
        <v>46386</v>
      </c>
      <c r="C12" s="59">
        <v>41057</v>
      </c>
      <c r="D12" s="59">
        <v>41402</v>
      </c>
      <c r="E12" s="59">
        <v>42196</v>
      </c>
      <c r="F12" s="59">
        <v>42654</v>
      </c>
      <c r="G12" s="59">
        <v>26180</v>
      </c>
      <c r="H12" s="59">
        <v>24314</v>
      </c>
      <c r="I12" s="59">
        <v>25865</v>
      </c>
      <c r="J12" s="59">
        <v>27842</v>
      </c>
      <c r="K12" s="60">
        <v>27560</v>
      </c>
      <c r="N12" s="61"/>
    </row>
    <row r="13" spans="1:14" ht="15.75" thickBot="1" x14ac:dyDescent="0.25">
      <c r="A13" s="46" t="s">
        <v>265</v>
      </c>
      <c r="B13" s="62">
        <v>46407</v>
      </c>
      <c r="C13" s="62">
        <v>40685</v>
      </c>
      <c r="D13" s="62">
        <v>38518</v>
      </c>
      <c r="E13" s="62">
        <v>36943</v>
      </c>
      <c r="F13" s="62">
        <v>36937</v>
      </c>
      <c r="G13" s="62">
        <v>31534</v>
      </c>
      <c r="H13" s="62">
        <v>30865</v>
      </c>
      <c r="I13" s="62">
        <v>31486</v>
      </c>
      <c r="J13" s="62">
        <v>32688</v>
      </c>
      <c r="K13" s="63">
        <v>34300</v>
      </c>
    </row>
    <row r="14" spans="1:14" x14ac:dyDescent="0.2">
      <c r="A14" s="49" t="s">
        <v>266</v>
      </c>
      <c r="B14" s="50"/>
      <c r="C14" s="50"/>
      <c r="D14" s="50"/>
      <c r="E14" s="50"/>
      <c r="F14" s="50"/>
      <c r="G14" s="50"/>
      <c r="H14" s="50"/>
      <c r="I14" s="50"/>
      <c r="J14" s="50"/>
      <c r="K14" s="51"/>
      <c r="N14" s="61"/>
    </row>
    <row r="15" spans="1:14" x14ac:dyDescent="0.2">
      <c r="A15" s="52" t="s">
        <v>267</v>
      </c>
      <c r="B15" s="53">
        <v>23180</v>
      </c>
      <c r="C15" s="53">
        <v>20430</v>
      </c>
      <c r="D15" s="53">
        <v>20869</v>
      </c>
      <c r="E15" s="53">
        <v>19680</v>
      </c>
      <c r="F15" s="53">
        <v>19366</v>
      </c>
      <c r="G15" s="53">
        <v>18724</v>
      </c>
      <c r="H15" s="53">
        <v>20561</v>
      </c>
      <c r="I15" s="53">
        <v>18745</v>
      </c>
      <c r="J15" s="53">
        <v>18609</v>
      </c>
      <c r="K15" s="54">
        <v>19003</v>
      </c>
    </row>
    <row r="16" spans="1:14" x14ac:dyDescent="0.2">
      <c r="A16" s="52" t="s">
        <v>268</v>
      </c>
      <c r="B16" s="53">
        <v>5437</v>
      </c>
      <c r="C16" s="53">
        <v>5247</v>
      </c>
      <c r="D16" s="53">
        <v>5726</v>
      </c>
      <c r="E16" s="53">
        <v>5590</v>
      </c>
      <c r="F16" s="53">
        <v>5379</v>
      </c>
      <c r="G16" s="53">
        <v>5910</v>
      </c>
      <c r="H16" s="53">
        <v>6262</v>
      </c>
      <c r="I16" s="53">
        <v>6488</v>
      </c>
      <c r="J16" s="53">
        <v>6567</v>
      </c>
      <c r="K16" s="54">
        <v>6775</v>
      </c>
    </row>
    <row r="17" spans="1:14" ht="15.75" thickBot="1" x14ac:dyDescent="0.25">
      <c r="A17" s="58" t="s">
        <v>77</v>
      </c>
      <c r="B17" s="59">
        <v>28617</v>
      </c>
      <c r="C17" s="59">
        <v>25677</v>
      </c>
      <c r="D17" s="59">
        <v>26595</v>
      </c>
      <c r="E17" s="59">
        <v>25270</v>
      </c>
      <c r="F17" s="59">
        <v>24745</v>
      </c>
      <c r="G17" s="59">
        <v>24634</v>
      </c>
      <c r="H17" s="59">
        <v>26823</v>
      </c>
      <c r="I17" s="59">
        <v>25233</v>
      </c>
      <c r="J17" s="59">
        <v>25176</v>
      </c>
      <c r="K17" s="60">
        <v>25778</v>
      </c>
    </row>
    <row r="18" spans="1:14" ht="15.75" thickBot="1" x14ac:dyDescent="0.25">
      <c r="A18" s="46" t="s">
        <v>76</v>
      </c>
      <c r="B18" s="62">
        <v>17790</v>
      </c>
      <c r="C18" s="62">
        <v>15008</v>
      </c>
      <c r="D18" s="62">
        <v>11923</v>
      </c>
      <c r="E18" s="62">
        <v>11673</v>
      </c>
      <c r="F18" s="62">
        <v>12192</v>
      </c>
      <c r="G18" s="62">
        <v>6900</v>
      </c>
      <c r="H18" s="62">
        <v>4042</v>
      </c>
      <c r="I18" s="62">
        <v>6253</v>
      </c>
      <c r="J18" s="62">
        <v>7512</v>
      </c>
      <c r="K18" s="63">
        <v>8522</v>
      </c>
    </row>
    <row r="19" spans="1:14" x14ac:dyDescent="0.2">
      <c r="A19" s="52" t="s">
        <v>269</v>
      </c>
      <c r="B19" s="53">
        <v>-742</v>
      </c>
      <c r="C19" s="53">
        <v>-682</v>
      </c>
      <c r="D19" s="53">
        <v>-1631</v>
      </c>
      <c r="E19" s="53">
        <v>-1466</v>
      </c>
      <c r="F19" s="53">
        <v>-1026</v>
      </c>
      <c r="G19" s="53">
        <v>-639</v>
      </c>
      <c r="H19" s="53">
        <v>-620</v>
      </c>
      <c r="I19" s="53">
        <v>-612</v>
      </c>
      <c r="J19" s="53">
        <v>-663</v>
      </c>
      <c r="K19" s="54">
        <v>-860</v>
      </c>
      <c r="N19" s="61"/>
    </row>
    <row r="20" spans="1:14" x14ac:dyDescent="0.2">
      <c r="A20" s="52" t="s">
        <v>270</v>
      </c>
      <c r="B20" s="53">
        <v>-1938</v>
      </c>
      <c r="C20" s="53">
        <v>-724</v>
      </c>
      <c r="D20" s="53">
        <v>593</v>
      </c>
      <c r="E20" s="53">
        <v>1125</v>
      </c>
      <c r="F20" s="53">
        <v>1152</v>
      </c>
      <c r="G20" s="53">
        <v>-1012</v>
      </c>
      <c r="H20" s="53">
        <v>802</v>
      </c>
      <c r="I20" s="53">
        <v>873</v>
      </c>
      <c r="J20" s="53">
        <v>5803</v>
      </c>
      <c r="K20" s="54">
        <v>-914</v>
      </c>
    </row>
    <row r="21" spans="1:14" x14ac:dyDescent="0.2">
      <c r="A21" s="52" t="s">
        <v>271</v>
      </c>
      <c r="B21" s="53">
        <v>484</v>
      </c>
      <c r="C21" s="53">
        <v>468</v>
      </c>
      <c r="D21" s="53">
        <v>630</v>
      </c>
      <c r="E21" s="53">
        <v>615</v>
      </c>
      <c r="F21" s="53">
        <v>723</v>
      </c>
      <c r="G21" s="53">
        <v>1344</v>
      </c>
      <c r="H21" s="53">
        <v>1288</v>
      </c>
      <c r="I21" s="53">
        <v>1155</v>
      </c>
      <c r="J21" s="53">
        <v>1216</v>
      </c>
      <c r="K21" s="54">
        <v>1607</v>
      </c>
    </row>
    <row r="22" spans="1:14" ht="15.75" thickBot="1" x14ac:dyDescent="0.25">
      <c r="A22" s="58" t="s">
        <v>272</v>
      </c>
      <c r="B22" s="59">
        <v>26421</v>
      </c>
      <c r="C22" s="59">
        <v>24739</v>
      </c>
      <c r="D22" s="59">
        <v>26187</v>
      </c>
      <c r="E22" s="59">
        <v>25544</v>
      </c>
      <c r="F22" s="59">
        <v>25594</v>
      </c>
      <c r="G22" s="59">
        <v>24327</v>
      </c>
      <c r="H22" s="59">
        <v>28293</v>
      </c>
      <c r="I22" s="59">
        <v>26649</v>
      </c>
      <c r="J22" s="59">
        <v>31532</v>
      </c>
      <c r="K22" s="60">
        <v>25611</v>
      </c>
      <c r="M22" s="61"/>
    </row>
    <row r="23" spans="1:14" ht="15.75" thickBot="1" x14ac:dyDescent="0.25">
      <c r="A23" s="64" t="s">
        <v>273</v>
      </c>
      <c r="B23" s="62">
        <v>19986</v>
      </c>
      <c r="C23" s="62">
        <v>15946</v>
      </c>
      <c r="D23" s="62">
        <v>12331</v>
      </c>
      <c r="E23" s="62">
        <v>11399</v>
      </c>
      <c r="F23" s="62">
        <v>11343</v>
      </c>
      <c r="G23" s="62">
        <v>7207</v>
      </c>
      <c r="H23" s="62">
        <v>2572</v>
      </c>
      <c r="I23" s="62">
        <v>4837</v>
      </c>
      <c r="J23" s="62">
        <v>1156</v>
      </c>
      <c r="K23" s="63">
        <v>8689</v>
      </c>
    </row>
    <row r="24" spans="1:14" x14ac:dyDescent="0.2">
      <c r="A24" s="65" t="s">
        <v>274</v>
      </c>
      <c r="B24" s="53">
        <v>4234</v>
      </c>
      <c r="C24" s="53">
        <v>2581</v>
      </c>
      <c r="D24" s="53">
        <v>449</v>
      </c>
      <c r="E24" s="53">
        <v>5642</v>
      </c>
      <c r="F24" s="53">
        <v>2619</v>
      </c>
      <c r="G24" s="53">
        <v>60</v>
      </c>
      <c r="H24" s="53">
        <v>-1360</v>
      </c>
      <c r="I24" s="53">
        <v>124</v>
      </c>
      <c r="J24" s="53">
        <v>-626</v>
      </c>
      <c r="K24" s="54">
        <v>1176</v>
      </c>
      <c r="N24" s="61"/>
    </row>
    <row r="25" spans="1:14" x14ac:dyDescent="0.2">
      <c r="A25" s="55" t="s">
        <v>275</v>
      </c>
      <c r="B25" s="56">
        <v>15752</v>
      </c>
      <c r="C25" s="56">
        <v>13365</v>
      </c>
      <c r="D25" s="56">
        <v>11882</v>
      </c>
      <c r="E25" s="56">
        <v>5757</v>
      </c>
      <c r="F25" s="56">
        <v>8724</v>
      </c>
      <c r="G25" s="56">
        <v>7147</v>
      </c>
      <c r="H25" s="56">
        <v>3932</v>
      </c>
      <c r="I25" s="56">
        <v>4713</v>
      </c>
      <c r="J25" s="56">
        <v>1782</v>
      </c>
      <c r="K25" s="57">
        <v>7513</v>
      </c>
    </row>
    <row r="26" spans="1:14" ht="15.75" thickBot="1" x14ac:dyDescent="0.25">
      <c r="A26" s="65" t="s">
        <v>276</v>
      </c>
      <c r="B26" s="53">
        <v>-3729</v>
      </c>
      <c r="C26" s="53">
        <v>-174</v>
      </c>
      <c r="D26" s="53">
        <v>-9</v>
      </c>
      <c r="E26" s="53">
        <v>-5</v>
      </c>
      <c r="F26" s="53">
        <v>5</v>
      </c>
      <c r="G26" s="53">
        <v>2285</v>
      </c>
      <c r="H26" s="53">
        <v>1658</v>
      </c>
      <c r="I26" s="53">
        <v>1030</v>
      </c>
      <c r="J26" s="53">
        <v>-143</v>
      </c>
      <c r="K26" s="54">
        <v>-12</v>
      </c>
      <c r="N26" s="61"/>
    </row>
    <row r="27" spans="1:14" ht="15.75" thickBot="1" x14ac:dyDescent="0.25">
      <c r="A27" s="46" t="s">
        <v>277</v>
      </c>
      <c r="B27" s="62">
        <v>12023</v>
      </c>
      <c r="C27" s="62">
        <v>13191</v>
      </c>
      <c r="D27" s="62">
        <v>11873</v>
      </c>
      <c r="E27" s="62">
        <v>5752</v>
      </c>
      <c r="F27" s="62">
        <v>8729</v>
      </c>
      <c r="G27" s="62">
        <v>9432</v>
      </c>
      <c r="H27" s="62">
        <v>5590</v>
      </c>
      <c r="I27" s="62">
        <v>5743</v>
      </c>
      <c r="J27" s="62">
        <v>1639</v>
      </c>
      <c r="K27" s="63">
        <v>7501</v>
      </c>
    </row>
    <row r="28" spans="1:14" ht="30" x14ac:dyDescent="0.2">
      <c r="A28" s="66" t="s">
        <v>278</v>
      </c>
      <c r="B28" s="67"/>
      <c r="C28" s="67"/>
      <c r="D28" s="67"/>
      <c r="E28" s="67"/>
      <c r="F28" s="67"/>
      <c r="G28" s="67"/>
      <c r="H28" s="67"/>
      <c r="I28" s="67"/>
      <c r="J28" s="67"/>
      <c r="K28" s="68"/>
    </row>
    <row r="29" spans="1:14" x14ac:dyDescent="0.2">
      <c r="A29" s="69" t="s">
        <v>279</v>
      </c>
      <c r="B29" s="70">
        <v>15.59</v>
      </c>
      <c r="C29" s="70">
        <v>13.6</v>
      </c>
      <c r="D29" s="70">
        <v>12.39</v>
      </c>
      <c r="E29" s="70">
        <v>6.14</v>
      </c>
      <c r="F29" s="70">
        <v>9.51</v>
      </c>
      <c r="G29" s="70">
        <v>8</v>
      </c>
      <c r="H29" s="70">
        <v>4.38</v>
      </c>
      <c r="I29" s="70">
        <v>5.21</v>
      </c>
      <c r="J29" s="70">
        <v>1.95</v>
      </c>
      <c r="K29" s="71">
        <v>8.15</v>
      </c>
    </row>
    <row r="30" spans="1:14" x14ac:dyDescent="0.2">
      <c r="A30" s="69" t="s">
        <v>280</v>
      </c>
      <c r="B30" s="70">
        <v>-3.69</v>
      </c>
      <c r="C30" s="70">
        <v>-0.18</v>
      </c>
      <c r="D30" s="70">
        <v>-0.01</v>
      </c>
      <c r="E30" s="70">
        <v>0</v>
      </c>
      <c r="F30" s="70">
        <v>0.01</v>
      </c>
      <c r="G30" s="70">
        <v>2.56</v>
      </c>
      <c r="H30" s="70">
        <v>1.85</v>
      </c>
      <c r="I30" s="70">
        <v>1.1399999999999999</v>
      </c>
      <c r="J30" s="70">
        <v>-0.16</v>
      </c>
      <c r="K30" s="71">
        <v>-0.01</v>
      </c>
    </row>
    <row r="31" spans="1:14" x14ac:dyDescent="0.2">
      <c r="A31" s="72" t="s">
        <v>281</v>
      </c>
      <c r="B31" s="73">
        <v>11.9</v>
      </c>
      <c r="C31" s="73">
        <v>13.42</v>
      </c>
      <c r="D31" s="73">
        <v>12.38</v>
      </c>
      <c r="E31" s="73">
        <v>6.14</v>
      </c>
      <c r="F31" s="73">
        <v>9.52</v>
      </c>
      <c r="G31" s="73">
        <v>10.56</v>
      </c>
      <c r="H31" s="73">
        <v>6.23</v>
      </c>
      <c r="I31" s="73">
        <v>6.35</v>
      </c>
      <c r="J31" s="73">
        <v>1.8</v>
      </c>
      <c r="K31" s="74">
        <v>8.14</v>
      </c>
    </row>
    <row r="32" spans="1:14" x14ac:dyDescent="0.2">
      <c r="A32" s="75" t="s">
        <v>282</v>
      </c>
      <c r="B32" s="76"/>
      <c r="C32" s="76"/>
      <c r="D32" s="76"/>
      <c r="E32" s="76"/>
      <c r="F32" s="76"/>
      <c r="G32" s="76"/>
      <c r="H32" s="76"/>
      <c r="I32" s="76"/>
      <c r="J32" s="76"/>
      <c r="K32" s="77"/>
    </row>
    <row r="33" spans="1:11" x14ac:dyDescent="0.2">
      <c r="A33" s="69" t="s">
        <v>279</v>
      </c>
      <c r="B33" s="70">
        <v>15.68</v>
      </c>
      <c r="C33" s="70">
        <v>13.66</v>
      </c>
      <c r="D33" s="70">
        <v>12.44</v>
      </c>
      <c r="E33" s="70">
        <v>6.17</v>
      </c>
      <c r="F33" s="70">
        <v>9.56</v>
      </c>
      <c r="G33" s="70">
        <v>8.0500000000000007</v>
      </c>
      <c r="H33" s="70">
        <v>4.42</v>
      </c>
      <c r="I33" s="70">
        <v>5.26</v>
      </c>
      <c r="J33" s="70">
        <v>1.97</v>
      </c>
      <c r="K33" s="71">
        <v>8.25</v>
      </c>
    </row>
    <row r="34" spans="1:11" x14ac:dyDescent="0.2">
      <c r="A34" s="69" t="s">
        <v>280</v>
      </c>
      <c r="B34" s="70">
        <v>-3.71</v>
      </c>
      <c r="C34" s="70">
        <v>-0.18</v>
      </c>
      <c r="D34" s="70">
        <v>-0.01</v>
      </c>
      <c r="E34" s="70">
        <v>0</v>
      </c>
      <c r="F34" s="70">
        <v>0.01</v>
      </c>
      <c r="G34" s="70">
        <v>2.58</v>
      </c>
      <c r="H34" s="70">
        <v>1.86</v>
      </c>
      <c r="I34" s="70">
        <v>1.1499999999999999</v>
      </c>
      <c r="J34" s="70">
        <v>-0.16</v>
      </c>
      <c r="K34" s="71">
        <v>-0.01</v>
      </c>
    </row>
    <row r="35" spans="1:11" x14ac:dyDescent="0.2">
      <c r="A35" s="72" t="s">
        <v>281</v>
      </c>
      <c r="B35" s="73">
        <v>11.97</v>
      </c>
      <c r="C35" s="73">
        <v>13.48</v>
      </c>
      <c r="D35" s="73">
        <v>12.43</v>
      </c>
      <c r="E35" s="73">
        <v>6.17</v>
      </c>
      <c r="F35" s="73">
        <v>9.57</v>
      </c>
      <c r="G35" s="73">
        <v>10.63</v>
      </c>
      <c r="H35" s="73">
        <v>6.28</v>
      </c>
      <c r="I35" s="73">
        <v>6.41</v>
      </c>
      <c r="J35" s="73">
        <v>1.82</v>
      </c>
      <c r="K35" s="74">
        <v>8.23</v>
      </c>
    </row>
    <row r="36" spans="1:11" x14ac:dyDescent="0.25">
      <c r="A36" s="78" t="s">
        <v>283</v>
      </c>
      <c r="B36" s="79"/>
      <c r="K36" s="80"/>
    </row>
    <row r="37" spans="1:11" x14ac:dyDescent="0.2">
      <c r="A37" s="69" t="s">
        <v>284</v>
      </c>
      <c r="B37" s="53">
        <v>1010000480</v>
      </c>
      <c r="C37" s="53">
        <v>982700269</v>
      </c>
      <c r="D37" s="53">
        <v>958714097</v>
      </c>
      <c r="E37" s="53">
        <v>937385625</v>
      </c>
      <c r="F37" s="53">
        <v>916315714</v>
      </c>
      <c r="G37" s="53">
        <v>892813376</v>
      </c>
      <c r="H37" s="53">
        <v>896563971</v>
      </c>
      <c r="I37" s="53">
        <v>904641001</v>
      </c>
      <c r="J37" s="53">
        <v>912269062</v>
      </c>
      <c r="K37" s="54">
        <v>922073828</v>
      </c>
    </row>
    <row r="38" spans="1:11" ht="15.75" thickBot="1" x14ac:dyDescent="0.25">
      <c r="A38" s="81" t="s">
        <v>285</v>
      </c>
      <c r="B38" s="82">
        <v>1004272584</v>
      </c>
      <c r="C38" s="82">
        <v>978744525</v>
      </c>
      <c r="D38" s="82">
        <v>955422530</v>
      </c>
      <c r="E38" s="82">
        <v>932828295</v>
      </c>
      <c r="F38" s="82">
        <v>912048072</v>
      </c>
      <c r="G38" s="82">
        <v>887235105</v>
      </c>
      <c r="H38" s="82">
        <v>890348679</v>
      </c>
      <c r="I38" s="82">
        <v>895990771</v>
      </c>
      <c r="J38" s="82">
        <v>902664190</v>
      </c>
      <c r="K38" s="83">
        <v>911210319</v>
      </c>
    </row>
    <row r="40" spans="1:11" x14ac:dyDescent="0.2">
      <c r="F40" s="53"/>
      <c r="G40" s="53"/>
      <c r="H40" s="53"/>
    </row>
    <row r="41" spans="1:11" x14ac:dyDescent="0.2">
      <c r="F41" s="53"/>
      <c r="G41" s="53"/>
      <c r="H41" s="53"/>
    </row>
  </sheetData>
  <mergeCells count="1">
    <mergeCell ref="A1:K1"/>
  </mergeCells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showGridLines="0" zoomScaleNormal="100" workbookViewId="0">
      <selection sqref="A1:K1"/>
    </sheetView>
  </sheetViews>
  <sheetFormatPr defaultRowHeight="15" x14ac:dyDescent="0.2"/>
  <cols>
    <col min="1" max="1" width="73.1640625" style="3" customWidth="1"/>
    <col min="2" max="3" width="14.6640625" style="10" customWidth="1"/>
    <col min="4" max="4" width="14.6640625" style="100" customWidth="1"/>
    <col min="5" max="11" width="14.6640625" style="3" customWidth="1"/>
    <col min="12" max="16384" width="9.33203125" style="3"/>
  </cols>
  <sheetData>
    <row r="1" spans="1:11" ht="50.25" customHeight="1" thickBot="1" x14ac:dyDescent="0.25">
      <c r="A1" s="345" t="s">
        <v>304</v>
      </c>
      <c r="B1" s="346"/>
      <c r="C1" s="346"/>
      <c r="D1" s="346"/>
      <c r="E1" s="346"/>
      <c r="F1" s="346"/>
      <c r="G1" s="346"/>
      <c r="H1" s="346"/>
      <c r="I1" s="346"/>
      <c r="J1" s="346"/>
      <c r="K1" s="347"/>
    </row>
    <row r="2" spans="1:11" ht="15.75" thickBot="1" x14ac:dyDescent="0.25">
      <c r="A2" s="46" t="s">
        <v>257</v>
      </c>
      <c r="B2" s="85">
        <v>2014</v>
      </c>
      <c r="C2" s="85">
        <v>2015</v>
      </c>
      <c r="D2" s="85">
        <v>2016</v>
      </c>
      <c r="E2" s="85">
        <v>2017</v>
      </c>
      <c r="F2" s="85">
        <v>2018</v>
      </c>
      <c r="G2" s="85">
        <v>2019</v>
      </c>
      <c r="H2" s="85">
        <v>2020</v>
      </c>
      <c r="I2" s="85">
        <v>2021</v>
      </c>
      <c r="J2" s="85">
        <v>2022</v>
      </c>
      <c r="K2" s="86">
        <v>2023</v>
      </c>
    </row>
    <row r="3" spans="1:11" x14ac:dyDescent="0.2">
      <c r="A3" s="49" t="s">
        <v>83</v>
      </c>
      <c r="B3" s="87">
        <v>12023</v>
      </c>
      <c r="C3" s="87">
        <v>13191</v>
      </c>
      <c r="D3" s="87">
        <v>11873</v>
      </c>
      <c r="E3" s="87">
        <v>5752</v>
      </c>
      <c r="F3" s="87">
        <v>8729</v>
      </c>
      <c r="G3" s="87">
        <v>9432</v>
      </c>
      <c r="H3" s="87">
        <v>5590</v>
      </c>
      <c r="I3" s="87">
        <v>5743</v>
      </c>
      <c r="J3" s="87">
        <v>1639</v>
      </c>
      <c r="K3" s="88">
        <v>7501</v>
      </c>
    </row>
    <row r="4" spans="1:11" x14ac:dyDescent="0.2">
      <c r="A4" s="49" t="s">
        <v>286</v>
      </c>
      <c r="B4" s="89"/>
      <c r="C4" s="87"/>
      <c r="D4" s="87"/>
      <c r="E4" s="87"/>
      <c r="F4" s="87"/>
      <c r="G4" s="87"/>
      <c r="H4" s="87"/>
      <c r="I4" s="87"/>
      <c r="J4" s="87"/>
      <c r="K4" s="88"/>
    </row>
    <row r="5" spans="1:11" x14ac:dyDescent="0.2">
      <c r="A5" s="90" t="s">
        <v>287</v>
      </c>
      <c r="B5" s="91">
        <v>-1636</v>
      </c>
      <c r="C5" s="91">
        <v>-1381</v>
      </c>
      <c r="D5" s="91">
        <v>-20</v>
      </c>
      <c r="E5" s="91">
        <v>152</v>
      </c>
      <c r="F5" s="91">
        <v>-731</v>
      </c>
      <c r="G5" s="91">
        <v>-40</v>
      </c>
      <c r="H5" s="91">
        <v>-1499</v>
      </c>
      <c r="I5" s="91">
        <v>986</v>
      </c>
      <c r="J5" s="91">
        <v>177</v>
      </c>
      <c r="K5" s="92">
        <v>2</v>
      </c>
    </row>
    <row r="6" spans="1:11" x14ac:dyDescent="0.2">
      <c r="A6" s="90" t="s">
        <v>288</v>
      </c>
      <c r="B6" s="89"/>
      <c r="C6" s="89"/>
      <c r="D6" s="89"/>
      <c r="E6" s="89"/>
      <c r="F6" s="89"/>
      <c r="G6" s="89"/>
      <c r="H6" s="89"/>
      <c r="I6" s="89"/>
      <c r="J6" s="89"/>
      <c r="K6" s="93"/>
    </row>
    <row r="7" spans="1:11" x14ac:dyDescent="0.2">
      <c r="A7" s="94" t="s">
        <v>289</v>
      </c>
      <c r="B7" s="87">
        <v>-29</v>
      </c>
      <c r="C7" s="87">
        <v>-54</v>
      </c>
      <c r="D7" s="87">
        <v>-38</v>
      </c>
      <c r="E7" s="87">
        <v>1</v>
      </c>
      <c r="F7" s="87">
        <v>-2</v>
      </c>
      <c r="G7" s="87">
        <v>1</v>
      </c>
      <c r="H7" s="87">
        <v>-1</v>
      </c>
      <c r="I7" s="87">
        <v>0</v>
      </c>
      <c r="J7" s="87">
        <v>-1</v>
      </c>
      <c r="K7" s="88">
        <v>0</v>
      </c>
    </row>
    <row r="8" spans="1:11" x14ac:dyDescent="0.2">
      <c r="A8" s="94" t="s">
        <v>290</v>
      </c>
      <c r="B8" s="87">
        <v>5</v>
      </c>
      <c r="C8" s="87">
        <v>86</v>
      </c>
      <c r="D8" s="87">
        <v>34</v>
      </c>
      <c r="E8" s="87">
        <v>1</v>
      </c>
      <c r="F8" s="87" t="s">
        <v>0</v>
      </c>
      <c r="G8" s="87" t="s">
        <v>0</v>
      </c>
      <c r="H8" s="87" t="s">
        <v>0</v>
      </c>
      <c r="I8" s="87" t="s">
        <v>0</v>
      </c>
      <c r="J8" s="87" t="s">
        <v>0</v>
      </c>
      <c r="K8" s="88" t="s">
        <v>0</v>
      </c>
    </row>
    <row r="9" spans="1:11" x14ac:dyDescent="0.2">
      <c r="A9" s="95" t="s">
        <v>291</v>
      </c>
      <c r="B9" s="96">
        <v>-24</v>
      </c>
      <c r="C9" s="96">
        <v>32</v>
      </c>
      <c r="D9" s="96">
        <v>-4</v>
      </c>
      <c r="E9" s="96">
        <v>2</v>
      </c>
      <c r="F9" s="96">
        <v>-2</v>
      </c>
      <c r="G9" s="96">
        <v>1</v>
      </c>
      <c r="H9" s="96">
        <v>-1</v>
      </c>
      <c r="I9" s="96">
        <v>0</v>
      </c>
      <c r="J9" s="96">
        <v>-1</v>
      </c>
      <c r="K9" s="97">
        <v>0</v>
      </c>
    </row>
    <row r="10" spans="1:11" x14ac:dyDescent="0.2">
      <c r="A10" s="90" t="s">
        <v>292</v>
      </c>
      <c r="B10" s="89"/>
      <c r="C10" s="87"/>
      <c r="D10" s="87"/>
      <c r="E10" s="87"/>
      <c r="F10" s="87"/>
      <c r="G10" s="87"/>
      <c r="H10" s="87"/>
      <c r="I10" s="87"/>
      <c r="J10" s="87"/>
      <c r="K10" s="88"/>
    </row>
    <row r="11" spans="1:11" x14ac:dyDescent="0.2">
      <c r="A11" s="94" t="s">
        <v>289</v>
      </c>
      <c r="B11" s="87">
        <v>958</v>
      </c>
      <c r="C11" s="87">
        <v>618</v>
      </c>
      <c r="D11" s="87">
        <v>243</v>
      </c>
      <c r="E11" s="87">
        <v>-58</v>
      </c>
      <c r="F11" s="87">
        <v>-136</v>
      </c>
      <c r="G11" s="87">
        <v>-689</v>
      </c>
      <c r="H11" s="87">
        <v>-349</v>
      </c>
      <c r="I11" s="87">
        <v>344</v>
      </c>
      <c r="J11" s="87">
        <v>241</v>
      </c>
      <c r="K11" s="88">
        <v>207</v>
      </c>
    </row>
    <row r="12" spans="1:11" x14ac:dyDescent="0.2">
      <c r="A12" s="94" t="s">
        <v>290</v>
      </c>
      <c r="B12" s="87">
        <v>-97</v>
      </c>
      <c r="C12" s="87">
        <v>-1072</v>
      </c>
      <c r="D12" s="87">
        <v>102</v>
      </c>
      <c r="E12" s="87">
        <v>-363</v>
      </c>
      <c r="F12" s="87">
        <v>449</v>
      </c>
      <c r="G12" s="87">
        <v>75</v>
      </c>
      <c r="H12" s="87">
        <v>-21</v>
      </c>
      <c r="I12" s="87">
        <v>243</v>
      </c>
      <c r="J12" s="87">
        <v>-400</v>
      </c>
      <c r="K12" s="88">
        <v>-159</v>
      </c>
    </row>
    <row r="13" spans="1:11" x14ac:dyDescent="0.2">
      <c r="A13" s="95" t="s">
        <v>293</v>
      </c>
      <c r="B13" s="96">
        <v>861</v>
      </c>
      <c r="C13" s="96">
        <v>-454</v>
      </c>
      <c r="D13" s="96">
        <v>345</v>
      </c>
      <c r="E13" s="96">
        <v>-421</v>
      </c>
      <c r="F13" s="96">
        <v>313</v>
      </c>
      <c r="G13" s="96">
        <v>-614</v>
      </c>
      <c r="H13" s="96">
        <v>-370</v>
      </c>
      <c r="I13" s="96">
        <v>587</v>
      </c>
      <c r="J13" s="96">
        <v>-159</v>
      </c>
      <c r="K13" s="97">
        <v>48</v>
      </c>
    </row>
    <row r="14" spans="1:11" x14ac:dyDescent="0.2">
      <c r="A14" s="90" t="s">
        <v>294</v>
      </c>
      <c r="B14" s="89"/>
      <c r="C14" s="87"/>
      <c r="D14" s="87"/>
      <c r="E14" s="87"/>
      <c r="F14" s="87"/>
      <c r="G14" s="87"/>
      <c r="H14" s="87"/>
      <c r="I14" s="87"/>
      <c r="J14" s="87"/>
      <c r="K14" s="88"/>
    </row>
    <row r="15" spans="1:11" x14ac:dyDescent="0.2">
      <c r="A15" s="94" t="s">
        <v>295</v>
      </c>
      <c r="B15" s="87">
        <v>1</v>
      </c>
      <c r="C15" s="87">
        <v>6</v>
      </c>
      <c r="D15" s="87" t="s">
        <v>0</v>
      </c>
      <c r="E15" s="87">
        <v>0</v>
      </c>
      <c r="F15" s="87">
        <v>-182</v>
      </c>
      <c r="G15" s="87">
        <v>-73</v>
      </c>
      <c r="H15" s="87">
        <v>-37</v>
      </c>
      <c r="I15" s="87">
        <v>-51</v>
      </c>
      <c r="J15" s="87">
        <v>463</v>
      </c>
      <c r="K15" s="88">
        <v>2</v>
      </c>
    </row>
    <row r="16" spans="1:11" x14ac:dyDescent="0.2">
      <c r="A16" s="94" t="s">
        <v>296</v>
      </c>
      <c r="B16" s="87">
        <v>-9799</v>
      </c>
      <c r="C16" s="87">
        <v>-2963</v>
      </c>
      <c r="D16" s="87">
        <v>-2490</v>
      </c>
      <c r="E16" s="87">
        <v>682</v>
      </c>
      <c r="F16" s="87">
        <v>-2517</v>
      </c>
      <c r="G16" s="87">
        <v>-120</v>
      </c>
      <c r="H16" s="87">
        <v>-1678</v>
      </c>
      <c r="I16" s="87">
        <v>2433</v>
      </c>
      <c r="J16" s="87">
        <v>878</v>
      </c>
      <c r="K16" s="88">
        <v>-3115</v>
      </c>
    </row>
    <row r="17" spans="1:11" x14ac:dyDescent="0.2">
      <c r="A17" s="94" t="s">
        <v>297</v>
      </c>
      <c r="B17" s="87">
        <v>24</v>
      </c>
      <c r="C17" s="87">
        <v>33</v>
      </c>
      <c r="D17" s="87">
        <v>-16</v>
      </c>
      <c r="E17" s="87">
        <v>19</v>
      </c>
      <c r="F17" s="87">
        <v>11</v>
      </c>
      <c r="G17" s="87">
        <v>41</v>
      </c>
      <c r="H17" s="87">
        <v>52</v>
      </c>
      <c r="I17" s="87">
        <v>94</v>
      </c>
      <c r="J17" s="87">
        <v>5970</v>
      </c>
      <c r="K17" s="88">
        <v>5</v>
      </c>
    </row>
    <row r="18" spans="1:11" x14ac:dyDescent="0.2">
      <c r="A18" s="94" t="s">
        <v>298</v>
      </c>
      <c r="B18" s="87">
        <v>-114</v>
      </c>
      <c r="C18" s="87">
        <v>-100</v>
      </c>
      <c r="D18" s="87">
        <v>-107</v>
      </c>
      <c r="E18" s="87">
        <v>-88</v>
      </c>
      <c r="F18" s="87">
        <v>-73</v>
      </c>
      <c r="G18" s="87">
        <v>-9</v>
      </c>
      <c r="H18" s="87">
        <v>13</v>
      </c>
      <c r="I18" s="87">
        <v>9</v>
      </c>
      <c r="J18" s="87">
        <v>12</v>
      </c>
      <c r="K18" s="88">
        <v>-9</v>
      </c>
    </row>
    <row r="19" spans="1:11" x14ac:dyDescent="0.2">
      <c r="A19" s="94" t="s">
        <v>299</v>
      </c>
      <c r="B19" s="87">
        <v>2531</v>
      </c>
      <c r="C19" s="87">
        <v>3304</v>
      </c>
      <c r="D19" s="87">
        <v>2764</v>
      </c>
      <c r="E19" s="87">
        <v>2889</v>
      </c>
      <c r="F19" s="87">
        <v>2966</v>
      </c>
      <c r="G19" s="87">
        <v>1843</v>
      </c>
      <c r="H19" s="87">
        <v>2314</v>
      </c>
      <c r="I19" s="87">
        <v>2484</v>
      </c>
      <c r="J19" s="87">
        <v>1596</v>
      </c>
      <c r="K19" s="88">
        <v>515</v>
      </c>
    </row>
    <row r="20" spans="1:11" x14ac:dyDescent="0.2">
      <c r="A20" s="95" t="s">
        <v>300</v>
      </c>
      <c r="B20" s="96">
        <v>-7357</v>
      </c>
      <c r="C20" s="96">
        <v>280</v>
      </c>
      <c r="D20" s="96">
        <v>151</v>
      </c>
      <c r="E20" s="96">
        <v>3502</v>
      </c>
      <c r="F20" s="96">
        <v>205</v>
      </c>
      <c r="G20" s="96">
        <v>1682</v>
      </c>
      <c r="H20" s="96">
        <v>664</v>
      </c>
      <c r="I20" s="96">
        <v>4969</v>
      </c>
      <c r="J20" s="96">
        <v>8919</v>
      </c>
      <c r="K20" s="97">
        <v>-2602</v>
      </c>
    </row>
    <row r="21" spans="1:11" x14ac:dyDescent="0.2">
      <c r="A21" s="49" t="s">
        <v>286</v>
      </c>
      <c r="B21" s="91">
        <v>-8156</v>
      </c>
      <c r="C21" s="91">
        <v>-1523</v>
      </c>
      <c r="D21" s="91">
        <v>472</v>
      </c>
      <c r="E21" s="91">
        <v>3235</v>
      </c>
      <c r="F21" s="91">
        <v>-215</v>
      </c>
      <c r="G21" s="91">
        <v>1029</v>
      </c>
      <c r="H21" s="91">
        <v>-1206</v>
      </c>
      <c r="I21" s="91">
        <v>6542</v>
      </c>
      <c r="J21" s="91">
        <v>8936</v>
      </c>
      <c r="K21" s="92">
        <v>-2552</v>
      </c>
    </row>
    <row r="22" spans="1:11" ht="30" x14ac:dyDescent="0.2">
      <c r="A22" s="49" t="s">
        <v>301</v>
      </c>
      <c r="B22" s="91">
        <v>1883</v>
      </c>
      <c r="C22" s="91">
        <v>-208</v>
      </c>
      <c r="D22" s="91">
        <v>-263</v>
      </c>
      <c r="E22" s="91">
        <v>-429</v>
      </c>
      <c r="F22" s="91">
        <v>-262</v>
      </c>
      <c r="G22" s="91">
        <v>-136</v>
      </c>
      <c r="H22" s="91">
        <v>466</v>
      </c>
      <c r="I22" s="91">
        <v>-1703</v>
      </c>
      <c r="J22" s="91">
        <v>-2442</v>
      </c>
      <c r="K22" s="92">
        <v>531</v>
      </c>
    </row>
    <row r="23" spans="1:11" ht="15.75" thickBot="1" x14ac:dyDescent="0.25">
      <c r="A23" s="49" t="s">
        <v>302</v>
      </c>
      <c r="B23" s="91">
        <v>-6273</v>
      </c>
      <c r="C23" s="91">
        <v>-1731</v>
      </c>
      <c r="D23" s="91">
        <v>209</v>
      </c>
      <c r="E23" s="91">
        <v>2806</v>
      </c>
      <c r="F23" s="91">
        <v>-477</v>
      </c>
      <c r="G23" s="91">
        <v>893</v>
      </c>
      <c r="H23" s="91">
        <v>-740</v>
      </c>
      <c r="I23" s="91">
        <v>4839</v>
      </c>
      <c r="J23" s="91">
        <v>6494</v>
      </c>
      <c r="K23" s="92">
        <v>-2021</v>
      </c>
    </row>
    <row r="24" spans="1:11" ht="15.75" thickBot="1" x14ac:dyDescent="0.25">
      <c r="A24" s="46" t="s">
        <v>303</v>
      </c>
      <c r="B24" s="98">
        <v>5750</v>
      </c>
      <c r="C24" s="98">
        <v>11460</v>
      </c>
      <c r="D24" s="98">
        <v>12082</v>
      </c>
      <c r="E24" s="98">
        <v>8558</v>
      </c>
      <c r="F24" s="98">
        <v>8252</v>
      </c>
      <c r="G24" s="98">
        <v>10325</v>
      </c>
      <c r="H24" s="98">
        <v>4850</v>
      </c>
      <c r="I24" s="98">
        <v>10582</v>
      </c>
      <c r="J24" s="98">
        <v>8133</v>
      </c>
      <c r="K24" s="99">
        <v>5480</v>
      </c>
    </row>
    <row r="25" spans="1:11" x14ac:dyDescent="0.2">
      <c r="D25" s="10"/>
    </row>
    <row r="26" spans="1:11" x14ac:dyDescent="0.2">
      <c r="D26" s="10"/>
    </row>
    <row r="27" spans="1:11" x14ac:dyDescent="0.2">
      <c r="D27" s="10"/>
    </row>
  </sheetData>
  <mergeCells count="1">
    <mergeCell ref="A1:K1"/>
  </mergeCells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showGridLines="0" zoomScaleNormal="100" workbookViewId="0">
      <selection sqref="A1:K1"/>
    </sheetView>
  </sheetViews>
  <sheetFormatPr defaultRowHeight="15" x14ac:dyDescent="0.2"/>
  <cols>
    <col min="1" max="1" width="69" style="3" customWidth="1"/>
    <col min="2" max="3" width="15" style="84" customWidth="1"/>
    <col min="4" max="11" width="15" style="3" customWidth="1"/>
    <col min="12" max="16384" width="9.33203125" style="3"/>
  </cols>
  <sheetData>
    <row r="1" spans="1:11" ht="49.5" customHeight="1" thickBot="1" x14ac:dyDescent="0.25">
      <c r="A1" s="348" t="s">
        <v>305</v>
      </c>
      <c r="B1" s="349"/>
      <c r="C1" s="349"/>
      <c r="D1" s="349"/>
      <c r="E1" s="349"/>
      <c r="F1" s="349"/>
      <c r="G1" s="349"/>
      <c r="H1" s="349"/>
      <c r="I1" s="349"/>
      <c r="J1" s="349"/>
      <c r="K1" s="350"/>
    </row>
    <row r="2" spans="1:11" ht="15.75" thickBot="1" x14ac:dyDescent="0.25">
      <c r="A2" s="46" t="s">
        <v>257</v>
      </c>
      <c r="B2" s="47">
        <v>2014</v>
      </c>
      <c r="C2" s="47">
        <v>2015</v>
      </c>
      <c r="D2" s="47">
        <v>2016</v>
      </c>
      <c r="E2" s="47">
        <v>2017</v>
      </c>
      <c r="F2" s="47">
        <v>2018</v>
      </c>
      <c r="G2" s="47">
        <v>2019</v>
      </c>
      <c r="H2" s="47">
        <v>2020</v>
      </c>
      <c r="I2" s="47">
        <v>2021</v>
      </c>
      <c r="J2" s="47">
        <v>2022</v>
      </c>
      <c r="K2" s="48">
        <v>2023</v>
      </c>
    </row>
    <row r="3" spans="1:11" x14ac:dyDescent="0.25">
      <c r="A3" s="101" t="s">
        <v>50</v>
      </c>
      <c r="B3" s="50"/>
      <c r="C3" s="50"/>
      <c r="D3" s="50"/>
      <c r="E3" s="50"/>
      <c r="F3" s="50"/>
      <c r="G3" s="102"/>
      <c r="H3" s="102"/>
      <c r="I3" s="102"/>
      <c r="J3" s="102"/>
      <c r="K3" s="103"/>
    </row>
    <row r="4" spans="1:11" x14ac:dyDescent="0.25">
      <c r="A4" s="66" t="s">
        <v>49</v>
      </c>
      <c r="B4" s="50"/>
      <c r="C4" s="50"/>
      <c r="D4" s="50"/>
      <c r="E4" s="50"/>
      <c r="F4" s="50"/>
      <c r="G4" s="50"/>
      <c r="H4" s="50"/>
      <c r="I4" s="50"/>
      <c r="J4" s="50"/>
      <c r="K4" s="104"/>
    </row>
    <row r="5" spans="1:11" x14ac:dyDescent="0.2">
      <c r="A5" s="69" t="s">
        <v>184</v>
      </c>
      <c r="B5" s="53">
        <v>8476</v>
      </c>
      <c r="C5" s="53">
        <v>7687</v>
      </c>
      <c r="D5" s="53">
        <v>8068</v>
      </c>
      <c r="E5" s="53">
        <v>12230</v>
      </c>
      <c r="F5" s="53">
        <v>11602</v>
      </c>
      <c r="G5" s="53">
        <v>8314</v>
      </c>
      <c r="H5" s="53">
        <v>13676</v>
      </c>
      <c r="I5" s="53">
        <v>6959</v>
      </c>
      <c r="J5" s="53">
        <v>7990</v>
      </c>
      <c r="K5" s="54">
        <v>13089</v>
      </c>
    </row>
    <row r="6" spans="1:11" x14ac:dyDescent="0.2">
      <c r="A6" s="69" t="s">
        <v>185</v>
      </c>
      <c r="B6" s="105" t="s">
        <v>0</v>
      </c>
      <c r="C6" s="105" t="s">
        <v>0</v>
      </c>
      <c r="D6" s="105" t="s">
        <v>0</v>
      </c>
      <c r="E6" s="105">
        <v>262</v>
      </c>
      <c r="F6" s="53">
        <v>225</v>
      </c>
      <c r="G6" s="53">
        <v>141</v>
      </c>
      <c r="H6" s="53">
        <v>463</v>
      </c>
      <c r="I6" s="53">
        <v>307</v>
      </c>
      <c r="J6" s="53">
        <v>103</v>
      </c>
      <c r="K6" s="54">
        <v>22</v>
      </c>
    </row>
    <row r="7" spans="1:11" x14ac:dyDescent="0.2">
      <c r="A7" s="69" t="s">
        <v>186</v>
      </c>
      <c r="B7" s="53">
        <v>0</v>
      </c>
      <c r="C7" s="53">
        <v>507</v>
      </c>
      <c r="D7" s="53">
        <v>701</v>
      </c>
      <c r="E7" s="53">
        <v>608</v>
      </c>
      <c r="F7" s="53">
        <v>618</v>
      </c>
      <c r="G7" s="53">
        <v>696</v>
      </c>
      <c r="H7" s="53">
        <v>600</v>
      </c>
      <c r="I7" s="53">
        <v>600</v>
      </c>
      <c r="J7" s="53">
        <v>748</v>
      </c>
      <c r="K7" s="54">
        <v>373</v>
      </c>
    </row>
    <row r="8" spans="1:11" x14ac:dyDescent="0.2">
      <c r="A8" s="106" t="s">
        <v>51</v>
      </c>
      <c r="B8" s="53">
        <v>9090</v>
      </c>
      <c r="C8" s="53">
        <v>8333</v>
      </c>
      <c r="D8" s="53">
        <v>8940</v>
      </c>
      <c r="E8" s="53">
        <v>8928</v>
      </c>
      <c r="F8" s="53">
        <v>7432</v>
      </c>
      <c r="G8" s="53">
        <v>7870</v>
      </c>
      <c r="H8" s="53">
        <v>5790</v>
      </c>
      <c r="I8" s="53">
        <v>6754</v>
      </c>
      <c r="J8" s="53">
        <v>6541</v>
      </c>
      <c r="K8" s="54">
        <v>7193</v>
      </c>
    </row>
    <row r="9" spans="1:11" x14ac:dyDescent="0.2">
      <c r="A9" s="106" t="s">
        <v>43</v>
      </c>
      <c r="B9" s="53">
        <v>19835</v>
      </c>
      <c r="C9" s="53">
        <v>19020</v>
      </c>
      <c r="D9" s="53">
        <v>19006</v>
      </c>
      <c r="E9" s="53">
        <v>21463</v>
      </c>
      <c r="F9" s="53">
        <v>22165</v>
      </c>
      <c r="G9" s="53">
        <v>14050</v>
      </c>
      <c r="H9" s="105" t="s">
        <v>0</v>
      </c>
      <c r="I9" s="105" t="s">
        <v>0</v>
      </c>
      <c r="J9" s="105" t="s">
        <v>0</v>
      </c>
      <c r="K9" s="107" t="s">
        <v>0</v>
      </c>
    </row>
    <row r="10" spans="1:11" x14ac:dyDescent="0.2">
      <c r="A10" s="69" t="s">
        <v>42</v>
      </c>
      <c r="B10" s="105" t="s">
        <v>0</v>
      </c>
      <c r="C10" s="105" t="s">
        <v>0</v>
      </c>
      <c r="D10" s="105" t="s">
        <v>0</v>
      </c>
      <c r="E10" s="105" t="s">
        <v>0</v>
      </c>
      <c r="F10" s="105" t="s">
        <v>0</v>
      </c>
      <c r="G10" s="105" t="s">
        <v>0</v>
      </c>
      <c r="H10" s="53">
        <v>10021</v>
      </c>
      <c r="I10" s="53">
        <v>7221</v>
      </c>
      <c r="J10" s="53">
        <v>6851</v>
      </c>
      <c r="K10" s="54">
        <v>6102</v>
      </c>
    </row>
    <row r="11" spans="1:11" x14ac:dyDescent="0.2">
      <c r="A11" s="69" t="s">
        <v>41</v>
      </c>
      <c r="B11" s="105" t="s">
        <v>0</v>
      </c>
      <c r="C11" s="105" t="s">
        <v>0</v>
      </c>
      <c r="D11" s="105" t="s">
        <v>0</v>
      </c>
      <c r="E11" s="105" t="s">
        <v>0</v>
      </c>
      <c r="F11" s="105" t="s">
        <v>0</v>
      </c>
      <c r="G11" s="105" t="s">
        <v>0</v>
      </c>
      <c r="H11" s="53">
        <v>383</v>
      </c>
      <c r="I11" s="53">
        <v>793</v>
      </c>
      <c r="J11" s="53">
        <v>938</v>
      </c>
      <c r="K11" s="54">
        <v>692</v>
      </c>
    </row>
    <row r="12" spans="1:11" x14ac:dyDescent="0.2">
      <c r="A12" s="106" t="s">
        <v>52</v>
      </c>
      <c r="B12" s="53">
        <v>2906</v>
      </c>
      <c r="C12" s="53">
        <v>1201</v>
      </c>
      <c r="D12" s="53">
        <v>1057</v>
      </c>
      <c r="E12" s="53">
        <v>981</v>
      </c>
      <c r="F12" s="53">
        <v>743</v>
      </c>
      <c r="G12" s="53">
        <v>1733</v>
      </c>
      <c r="H12" s="53">
        <v>695</v>
      </c>
      <c r="I12" s="53">
        <v>1002</v>
      </c>
      <c r="J12" s="53">
        <v>817</v>
      </c>
      <c r="K12" s="54">
        <v>640</v>
      </c>
    </row>
    <row r="13" spans="1:11" x14ac:dyDescent="0.2">
      <c r="A13" s="69" t="s">
        <v>187</v>
      </c>
      <c r="B13" s="53">
        <v>2103</v>
      </c>
      <c r="C13" s="53">
        <v>1551</v>
      </c>
      <c r="D13" s="53">
        <v>1553</v>
      </c>
      <c r="E13" s="53">
        <v>1583</v>
      </c>
      <c r="F13" s="53">
        <v>1682</v>
      </c>
      <c r="G13" s="53">
        <v>1619</v>
      </c>
      <c r="H13" s="53">
        <v>1812</v>
      </c>
      <c r="I13" s="53">
        <v>1649</v>
      </c>
      <c r="J13" s="53">
        <v>1552</v>
      </c>
      <c r="K13" s="54">
        <v>1161</v>
      </c>
    </row>
    <row r="14" spans="1:11" x14ac:dyDescent="0.2">
      <c r="A14" s="69" t="s">
        <v>188</v>
      </c>
      <c r="B14" s="105" t="s">
        <v>0</v>
      </c>
      <c r="C14" s="105" t="s">
        <v>0</v>
      </c>
      <c r="D14" s="105" t="s">
        <v>0</v>
      </c>
      <c r="E14" s="105">
        <v>1820</v>
      </c>
      <c r="F14" s="53">
        <v>2300</v>
      </c>
      <c r="G14" s="53">
        <v>1896</v>
      </c>
      <c r="H14" s="53">
        <v>1018</v>
      </c>
      <c r="I14" s="53">
        <v>1097</v>
      </c>
      <c r="J14" s="53">
        <v>967</v>
      </c>
      <c r="K14" s="54">
        <v>998</v>
      </c>
    </row>
    <row r="15" spans="1:11" x14ac:dyDescent="0.2">
      <c r="A15" s="69" t="s">
        <v>189</v>
      </c>
      <c r="B15" s="53">
        <v>4967</v>
      </c>
      <c r="C15" s="53">
        <v>4205</v>
      </c>
      <c r="D15" s="53">
        <v>4564</v>
      </c>
      <c r="E15" s="53">
        <v>1860</v>
      </c>
      <c r="F15" s="53">
        <v>2378</v>
      </c>
      <c r="G15" s="53">
        <v>2101</v>
      </c>
      <c r="H15" s="53">
        <v>2089</v>
      </c>
      <c r="I15" s="53">
        <v>3157</v>
      </c>
      <c r="J15" s="53">
        <v>2611</v>
      </c>
      <c r="K15" s="54">
        <v>2639</v>
      </c>
    </row>
    <row r="16" spans="1:11" x14ac:dyDescent="0.2">
      <c r="A16" s="69" t="s">
        <v>44</v>
      </c>
      <c r="B16" s="105" t="s">
        <v>0</v>
      </c>
      <c r="C16" s="105" t="s">
        <v>0</v>
      </c>
      <c r="D16" s="105" t="s">
        <v>0</v>
      </c>
      <c r="E16" s="105" t="s">
        <v>0</v>
      </c>
      <c r="F16" s="105" t="s">
        <v>0</v>
      </c>
      <c r="G16" s="105" t="s">
        <v>0</v>
      </c>
      <c r="H16" s="53">
        <v>2618</v>
      </c>
      <c r="I16" s="105" t="s">
        <v>0</v>
      </c>
      <c r="J16" s="105" t="s">
        <v>0</v>
      </c>
      <c r="K16" s="107" t="s">
        <v>0</v>
      </c>
    </row>
    <row r="17" spans="1:11" x14ac:dyDescent="0.2">
      <c r="A17" s="55" t="s">
        <v>190</v>
      </c>
      <c r="B17" s="56">
        <v>47377</v>
      </c>
      <c r="C17" s="56">
        <v>42504</v>
      </c>
      <c r="D17" s="56">
        <v>43889</v>
      </c>
      <c r="E17" s="56">
        <v>49735</v>
      </c>
      <c r="F17" s="56">
        <v>49145</v>
      </c>
      <c r="G17" s="56">
        <v>38420</v>
      </c>
      <c r="H17" s="56">
        <v>39165</v>
      </c>
      <c r="I17" s="56">
        <v>29539</v>
      </c>
      <c r="J17" s="56">
        <v>29118</v>
      </c>
      <c r="K17" s="57">
        <v>32909</v>
      </c>
    </row>
    <row r="18" spans="1:11" x14ac:dyDescent="0.2">
      <c r="A18" s="65" t="s">
        <v>191</v>
      </c>
      <c r="B18" s="53">
        <v>39034</v>
      </c>
      <c r="C18" s="53">
        <v>29342</v>
      </c>
      <c r="D18" s="53">
        <v>30133</v>
      </c>
      <c r="E18" s="53">
        <v>32331</v>
      </c>
      <c r="F18" s="53">
        <v>32460</v>
      </c>
      <c r="G18" s="53">
        <v>32028</v>
      </c>
      <c r="H18" s="53">
        <v>20100</v>
      </c>
      <c r="I18" s="53">
        <v>20085</v>
      </c>
      <c r="J18" s="53">
        <v>18695</v>
      </c>
      <c r="K18" s="54">
        <v>18122</v>
      </c>
    </row>
    <row r="19" spans="1:11" x14ac:dyDescent="0.2">
      <c r="A19" s="69" t="s">
        <v>192</v>
      </c>
      <c r="B19" s="53">
        <v>28263</v>
      </c>
      <c r="C19" s="53">
        <v>18615</v>
      </c>
      <c r="D19" s="53">
        <v>19303</v>
      </c>
      <c r="E19" s="53">
        <v>21215</v>
      </c>
      <c r="F19" s="53">
        <v>21668</v>
      </c>
      <c r="G19" s="53">
        <v>22018</v>
      </c>
      <c r="H19" s="53">
        <v>13895</v>
      </c>
      <c r="I19" s="53">
        <v>14390</v>
      </c>
      <c r="J19" s="53">
        <v>13361</v>
      </c>
      <c r="K19" s="54">
        <v>12621</v>
      </c>
    </row>
    <row r="20" spans="1:11" x14ac:dyDescent="0.2">
      <c r="A20" s="65" t="s">
        <v>193</v>
      </c>
      <c r="B20" s="53">
        <v>10771</v>
      </c>
      <c r="C20" s="53">
        <v>10727</v>
      </c>
      <c r="D20" s="53">
        <v>10830</v>
      </c>
      <c r="E20" s="53">
        <v>11116</v>
      </c>
      <c r="F20" s="53">
        <v>10792</v>
      </c>
      <c r="G20" s="53">
        <v>10010</v>
      </c>
      <c r="H20" s="53">
        <v>6205</v>
      </c>
      <c r="I20" s="53">
        <v>5694</v>
      </c>
      <c r="J20" s="53">
        <v>5334</v>
      </c>
      <c r="K20" s="54">
        <v>5501</v>
      </c>
    </row>
    <row r="21" spans="1:11" x14ac:dyDescent="0.2">
      <c r="A21" s="108" t="s">
        <v>40</v>
      </c>
      <c r="B21" s="105" t="s">
        <v>0</v>
      </c>
      <c r="C21" s="105" t="s">
        <v>0</v>
      </c>
      <c r="D21" s="105" t="s">
        <v>0</v>
      </c>
      <c r="E21" s="105" t="s">
        <v>0</v>
      </c>
      <c r="F21" s="105" t="s">
        <v>0</v>
      </c>
      <c r="G21" s="53">
        <v>4995</v>
      </c>
      <c r="H21" s="53">
        <v>3566</v>
      </c>
      <c r="I21" s="53">
        <v>3222</v>
      </c>
      <c r="J21" s="53">
        <v>2878</v>
      </c>
      <c r="K21" s="54">
        <v>3220</v>
      </c>
    </row>
    <row r="22" spans="1:11" x14ac:dyDescent="0.2">
      <c r="A22" s="109" t="s">
        <v>56</v>
      </c>
      <c r="B22" s="53">
        <v>11109</v>
      </c>
      <c r="C22" s="53">
        <v>10013</v>
      </c>
      <c r="D22" s="53">
        <v>9021</v>
      </c>
      <c r="E22" s="53">
        <v>9550</v>
      </c>
      <c r="F22" s="53">
        <v>9148</v>
      </c>
      <c r="G22" s="53">
        <v>8712</v>
      </c>
      <c r="H22" s="53">
        <v>7086</v>
      </c>
      <c r="I22" s="53">
        <v>5425</v>
      </c>
      <c r="J22" s="53">
        <v>5806</v>
      </c>
      <c r="K22" s="54">
        <v>5766</v>
      </c>
    </row>
    <row r="23" spans="1:11" x14ac:dyDescent="0.2">
      <c r="A23" s="65" t="s">
        <v>194</v>
      </c>
      <c r="B23" s="53">
        <v>2160</v>
      </c>
      <c r="C23" s="53">
        <v>1734</v>
      </c>
      <c r="D23" s="53">
        <v>3034</v>
      </c>
      <c r="E23" s="53">
        <v>4643</v>
      </c>
      <c r="F23" s="53">
        <v>4666</v>
      </c>
      <c r="G23" s="53">
        <v>6865</v>
      </c>
      <c r="H23" s="53">
        <v>7557</v>
      </c>
      <c r="I23" s="53">
        <v>9850</v>
      </c>
      <c r="J23" s="53">
        <v>8236</v>
      </c>
      <c r="K23" s="54">
        <v>7506</v>
      </c>
    </row>
    <row r="24" spans="1:11" x14ac:dyDescent="0.2">
      <c r="A24" s="65" t="s">
        <v>188</v>
      </c>
      <c r="B24" s="105" t="s">
        <v>0</v>
      </c>
      <c r="C24" s="105" t="s">
        <v>0</v>
      </c>
      <c r="D24" s="105" t="s">
        <v>0</v>
      </c>
      <c r="E24" s="105">
        <v>2136</v>
      </c>
      <c r="F24" s="53">
        <v>2676</v>
      </c>
      <c r="G24" s="53">
        <v>2472</v>
      </c>
      <c r="H24" s="53">
        <v>1150</v>
      </c>
      <c r="I24" s="53">
        <v>924</v>
      </c>
      <c r="J24" s="53">
        <v>865</v>
      </c>
      <c r="K24" s="54">
        <v>842</v>
      </c>
    </row>
    <row r="25" spans="1:11" x14ac:dyDescent="0.2">
      <c r="A25" s="65" t="s">
        <v>195</v>
      </c>
      <c r="B25" s="53">
        <v>6675</v>
      </c>
      <c r="C25" s="53">
        <v>4822</v>
      </c>
      <c r="D25" s="53">
        <v>5224</v>
      </c>
      <c r="E25" s="53">
        <v>4862</v>
      </c>
      <c r="F25" s="53">
        <v>5216</v>
      </c>
      <c r="G25" s="53">
        <v>5182</v>
      </c>
      <c r="H25" s="53">
        <v>8404</v>
      </c>
      <c r="I25" s="53">
        <v>7370</v>
      </c>
      <c r="J25" s="53">
        <v>6256</v>
      </c>
      <c r="K25" s="54">
        <v>6656</v>
      </c>
    </row>
    <row r="26" spans="1:11" x14ac:dyDescent="0.2">
      <c r="A26" s="65" t="s">
        <v>196</v>
      </c>
      <c r="B26" s="53">
        <v>30556</v>
      </c>
      <c r="C26" s="53">
        <v>32021</v>
      </c>
      <c r="D26" s="53">
        <v>36199</v>
      </c>
      <c r="E26" s="53">
        <v>36788</v>
      </c>
      <c r="F26" s="53">
        <v>36265</v>
      </c>
      <c r="G26" s="53">
        <v>58222</v>
      </c>
      <c r="H26" s="53">
        <v>53765</v>
      </c>
      <c r="I26" s="53">
        <v>55643</v>
      </c>
      <c r="J26" s="53">
        <v>55949</v>
      </c>
      <c r="K26" s="54">
        <v>60178</v>
      </c>
    </row>
    <row r="27" spans="1:11" x14ac:dyDescent="0.2">
      <c r="A27" s="65" t="s">
        <v>197</v>
      </c>
      <c r="B27" s="53">
        <v>3104</v>
      </c>
      <c r="C27" s="53">
        <v>3487</v>
      </c>
      <c r="D27" s="53">
        <v>4688</v>
      </c>
      <c r="E27" s="53">
        <v>3742</v>
      </c>
      <c r="F27" s="53">
        <v>3087</v>
      </c>
      <c r="G27" s="53">
        <v>15235</v>
      </c>
      <c r="H27" s="53">
        <v>13739</v>
      </c>
      <c r="I27" s="53">
        <v>12511</v>
      </c>
      <c r="J27" s="53">
        <v>11184</v>
      </c>
      <c r="K27" s="54">
        <v>11036</v>
      </c>
    </row>
    <row r="28" spans="1:11" x14ac:dyDescent="0.2">
      <c r="A28" s="65" t="s">
        <v>198</v>
      </c>
      <c r="B28" s="53">
        <v>5520</v>
      </c>
      <c r="C28" s="53">
        <v>5187</v>
      </c>
      <c r="D28" s="53">
        <v>4585</v>
      </c>
      <c r="E28" s="53">
        <v>2783</v>
      </c>
      <c r="F28" s="53">
        <v>2386</v>
      </c>
      <c r="G28" s="53">
        <v>2074</v>
      </c>
      <c r="H28" s="53">
        <v>2187</v>
      </c>
      <c r="I28" s="53">
        <v>1823</v>
      </c>
      <c r="J28" s="53">
        <v>1617</v>
      </c>
      <c r="K28" s="54">
        <v>1626</v>
      </c>
    </row>
    <row r="29" spans="1:11" x14ac:dyDescent="0.2">
      <c r="A29" s="65" t="s">
        <v>45</v>
      </c>
      <c r="B29" s="105" t="s">
        <v>0</v>
      </c>
      <c r="C29" s="105" t="s">
        <v>0</v>
      </c>
      <c r="D29" s="105" t="s">
        <v>0</v>
      </c>
      <c r="E29" s="105" t="s">
        <v>0</v>
      </c>
      <c r="F29" s="105" t="s">
        <v>0</v>
      </c>
      <c r="G29" s="105" t="s">
        <v>0</v>
      </c>
      <c r="H29" s="53">
        <v>13147</v>
      </c>
      <c r="I29" s="105" t="s">
        <v>0</v>
      </c>
      <c r="J29" s="105" t="s">
        <v>0</v>
      </c>
      <c r="K29" s="107" t="s">
        <v>0</v>
      </c>
    </row>
    <row r="30" spans="1:11" ht="15.75" thickBot="1" x14ac:dyDescent="0.25">
      <c r="A30" s="55" t="s">
        <v>63</v>
      </c>
      <c r="B30" s="56">
        <v>69895</v>
      </c>
      <c r="C30" s="56">
        <v>67991</v>
      </c>
      <c r="D30" s="56">
        <v>73581</v>
      </c>
      <c r="E30" s="56">
        <v>75620</v>
      </c>
      <c r="F30" s="56">
        <v>74236</v>
      </c>
      <c r="G30" s="56">
        <v>113767</v>
      </c>
      <c r="H30" s="56">
        <v>116806</v>
      </c>
      <c r="I30" s="56">
        <v>102462</v>
      </c>
      <c r="J30" s="56">
        <v>98125</v>
      </c>
      <c r="K30" s="57">
        <v>102331</v>
      </c>
    </row>
    <row r="31" spans="1:11" ht="15.75" thickBot="1" x14ac:dyDescent="0.25">
      <c r="A31" s="46" t="s">
        <v>199</v>
      </c>
      <c r="B31" s="62">
        <v>117272</v>
      </c>
      <c r="C31" s="62">
        <v>110495</v>
      </c>
      <c r="D31" s="62">
        <v>117470</v>
      </c>
      <c r="E31" s="62">
        <v>125355</v>
      </c>
      <c r="F31" s="62">
        <v>123381</v>
      </c>
      <c r="G31" s="62">
        <v>152187</v>
      </c>
      <c r="H31" s="62">
        <v>155971</v>
      </c>
      <c r="I31" s="62">
        <v>132001</v>
      </c>
      <c r="J31" s="62">
        <v>127243</v>
      </c>
      <c r="K31" s="63">
        <v>135240</v>
      </c>
    </row>
    <row r="32" spans="1:11" x14ac:dyDescent="0.2">
      <c r="A32" s="101" t="s">
        <v>54</v>
      </c>
      <c r="B32" s="53"/>
      <c r="C32" s="53"/>
      <c r="D32" s="53"/>
      <c r="E32" s="53"/>
      <c r="F32" s="53"/>
      <c r="G32" s="53"/>
      <c r="H32" s="53"/>
      <c r="I32" s="53"/>
      <c r="J32" s="53"/>
      <c r="K32" s="54"/>
    </row>
    <row r="33" spans="1:11" x14ac:dyDescent="0.2">
      <c r="A33" s="66" t="s">
        <v>53</v>
      </c>
      <c r="B33" s="53"/>
      <c r="C33" s="53"/>
      <c r="D33" s="53"/>
      <c r="E33" s="53"/>
      <c r="F33" s="53"/>
      <c r="G33" s="53"/>
      <c r="H33" s="53"/>
      <c r="I33" s="53"/>
      <c r="J33" s="53"/>
      <c r="K33" s="54"/>
    </row>
    <row r="34" spans="1:11" x14ac:dyDescent="0.2">
      <c r="A34" s="69" t="s">
        <v>200</v>
      </c>
      <c r="B34" s="53">
        <v>5084</v>
      </c>
      <c r="C34" s="53">
        <v>2847</v>
      </c>
      <c r="D34" s="53">
        <v>3235</v>
      </c>
      <c r="E34" s="53">
        <v>4219</v>
      </c>
      <c r="F34" s="53">
        <v>3046</v>
      </c>
      <c r="G34" s="53">
        <v>2839</v>
      </c>
      <c r="H34" s="53">
        <v>3198</v>
      </c>
      <c r="I34" s="53">
        <v>2289</v>
      </c>
      <c r="J34" s="53">
        <v>2196</v>
      </c>
      <c r="K34" s="54">
        <v>2270</v>
      </c>
    </row>
    <row r="35" spans="1:11" x14ac:dyDescent="0.2">
      <c r="A35" s="69" t="s">
        <v>201</v>
      </c>
      <c r="B35" s="53">
        <v>5731</v>
      </c>
      <c r="C35" s="53">
        <v>6461</v>
      </c>
      <c r="D35" s="53">
        <v>7513</v>
      </c>
      <c r="E35" s="53">
        <v>6987</v>
      </c>
      <c r="F35" s="53">
        <v>10207</v>
      </c>
      <c r="G35" s="53">
        <v>8797</v>
      </c>
      <c r="H35" s="53">
        <v>7116</v>
      </c>
      <c r="I35" s="53">
        <v>6787</v>
      </c>
      <c r="J35" s="53">
        <v>4760</v>
      </c>
      <c r="K35" s="54">
        <v>6426</v>
      </c>
    </row>
    <row r="36" spans="1:11" x14ac:dyDescent="0.2">
      <c r="A36" s="69" t="s">
        <v>202</v>
      </c>
      <c r="B36" s="53">
        <v>6864</v>
      </c>
      <c r="C36" s="53">
        <v>6028</v>
      </c>
      <c r="D36" s="53">
        <v>6209</v>
      </c>
      <c r="E36" s="53">
        <v>6451</v>
      </c>
      <c r="F36" s="53">
        <v>6558</v>
      </c>
      <c r="G36" s="53">
        <v>4896</v>
      </c>
      <c r="H36" s="53">
        <v>4033</v>
      </c>
      <c r="I36" s="53">
        <v>3955</v>
      </c>
      <c r="J36" s="53">
        <v>4051</v>
      </c>
      <c r="K36" s="54">
        <v>4132</v>
      </c>
    </row>
    <row r="37" spans="1:11" x14ac:dyDescent="0.2">
      <c r="A37" s="69" t="s">
        <v>203</v>
      </c>
      <c r="B37" s="53">
        <v>4031</v>
      </c>
      <c r="C37" s="53">
        <v>3560</v>
      </c>
      <c r="D37" s="53">
        <v>3577</v>
      </c>
      <c r="E37" s="53">
        <v>3644</v>
      </c>
      <c r="F37" s="53">
        <v>3310</v>
      </c>
      <c r="G37" s="53">
        <v>3406</v>
      </c>
      <c r="H37" s="53">
        <v>3056</v>
      </c>
      <c r="I37" s="53">
        <v>3204</v>
      </c>
      <c r="J37" s="53">
        <v>3481</v>
      </c>
      <c r="K37" s="54">
        <v>3501</v>
      </c>
    </row>
    <row r="38" spans="1:11" x14ac:dyDescent="0.2">
      <c r="A38" s="69" t="s">
        <v>204</v>
      </c>
      <c r="B38" s="53">
        <v>11877</v>
      </c>
      <c r="C38" s="53">
        <v>11021</v>
      </c>
      <c r="D38" s="53">
        <v>11035</v>
      </c>
      <c r="E38" s="53">
        <v>11552</v>
      </c>
      <c r="F38" s="53">
        <v>11165</v>
      </c>
      <c r="G38" s="53">
        <v>12026</v>
      </c>
      <c r="H38" s="53">
        <v>11980</v>
      </c>
      <c r="I38" s="53">
        <v>12518</v>
      </c>
      <c r="J38" s="53">
        <v>12032</v>
      </c>
      <c r="K38" s="54">
        <v>13451</v>
      </c>
    </row>
    <row r="39" spans="1:11" x14ac:dyDescent="0.2">
      <c r="A39" s="110" t="s">
        <v>39</v>
      </c>
      <c r="B39" s="105" t="s">
        <v>0</v>
      </c>
      <c r="C39" s="105" t="s">
        <v>0</v>
      </c>
      <c r="D39" s="105" t="s">
        <v>0</v>
      </c>
      <c r="E39" s="105" t="s">
        <v>0</v>
      </c>
      <c r="F39" s="105" t="s">
        <v>0</v>
      </c>
      <c r="G39" s="53">
        <v>1380</v>
      </c>
      <c r="H39" s="53">
        <v>1035</v>
      </c>
      <c r="I39" s="53">
        <v>974</v>
      </c>
      <c r="J39" s="53">
        <v>874</v>
      </c>
      <c r="K39" s="54">
        <v>820</v>
      </c>
    </row>
    <row r="40" spans="1:11" x14ac:dyDescent="0.2">
      <c r="A40" s="69" t="s">
        <v>205</v>
      </c>
      <c r="B40" s="53">
        <v>5994</v>
      </c>
      <c r="C40" s="53">
        <v>4353</v>
      </c>
      <c r="D40" s="53">
        <v>4706</v>
      </c>
      <c r="E40" s="53">
        <v>4510</v>
      </c>
      <c r="F40" s="53">
        <v>3941</v>
      </c>
      <c r="G40" s="53">
        <v>4358</v>
      </c>
      <c r="H40" s="53">
        <v>5632</v>
      </c>
      <c r="I40" s="53">
        <v>3892</v>
      </c>
      <c r="J40" s="53">
        <v>4111</v>
      </c>
      <c r="K40" s="54">
        <v>3521</v>
      </c>
    </row>
    <row r="41" spans="1:11" x14ac:dyDescent="0.2">
      <c r="A41" s="110" t="s">
        <v>206</v>
      </c>
      <c r="B41" s="105" t="s">
        <v>0</v>
      </c>
      <c r="C41" s="105" t="s">
        <v>0</v>
      </c>
      <c r="D41" s="105" t="s">
        <v>0</v>
      </c>
      <c r="E41" s="105" t="s">
        <v>0</v>
      </c>
      <c r="F41" s="105" t="s">
        <v>0</v>
      </c>
      <c r="G41" s="105" t="s">
        <v>0</v>
      </c>
      <c r="H41" s="53">
        <v>3819</v>
      </c>
      <c r="I41" s="105" t="s">
        <v>0</v>
      </c>
      <c r="J41" s="105" t="s">
        <v>0</v>
      </c>
      <c r="K41" s="107" t="s">
        <v>0</v>
      </c>
    </row>
    <row r="42" spans="1:11" x14ac:dyDescent="0.2">
      <c r="A42" s="55" t="s">
        <v>207</v>
      </c>
      <c r="B42" s="56">
        <v>39581</v>
      </c>
      <c r="C42" s="56">
        <v>34270</v>
      </c>
      <c r="D42" s="56">
        <v>36275</v>
      </c>
      <c r="E42" s="56">
        <v>37363</v>
      </c>
      <c r="F42" s="56">
        <v>38227</v>
      </c>
      <c r="G42" s="56">
        <v>37702</v>
      </c>
      <c r="H42" s="56">
        <v>39869</v>
      </c>
      <c r="I42" s="56">
        <v>33619</v>
      </c>
      <c r="J42" s="56">
        <v>31505</v>
      </c>
      <c r="K42" s="57">
        <v>34121</v>
      </c>
    </row>
    <row r="43" spans="1:11" x14ac:dyDescent="0.2">
      <c r="A43" s="65" t="s">
        <v>208</v>
      </c>
      <c r="B43" s="53">
        <v>34991</v>
      </c>
      <c r="C43" s="53">
        <v>33428</v>
      </c>
      <c r="D43" s="53">
        <v>34655</v>
      </c>
      <c r="E43" s="53">
        <v>39837</v>
      </c>
      <c r="F43" s="53">
        <v>35605</v>
      </c>
      <c r="G43" s="53">
        <v>54102</v>
      </c>
      <c r="H43" s="53">
        <v>54217</v>
      </c>
      <c r="I43" s="53">
        <v>44917</v>
      </c>
      <c r="J43" s="53">
        <v>46189</v>
      </c>
      <c r="K43" s="54">
        <v>50121</v>
      </c>
    </row>
    <row r="44" spans="1:11" x14ac:dyDescent="0.2">
      <c r="A44" s="65" t="s">
        <v>209</v>
      </c>
      <c r="B44" s="53">
        <v>18261</v>
      </c>
      <c r="C44" s="53">
        <v>16504</v>
      </c>
      <c r="D44" s="53">
        <v>17070</v>
      </c>
      <c r="E44" s="53">
        <v>16720</v>
      </c>
      <c r="F44" s="53">
        <v>17002</v>
      </c>
      <c r="G44" s="53">
        <v>17142</v>
      </c>
      <c r="H44" s="53">
        <v>17184</v>
      </c>
      <c r="I44" s="53">
        <v>14435</v>
      </c>
      <c r="J44" s="53">
        <v>9596</v>
      </c>
      <c r="K44" s="54">
        <v>10808</v>
      </c>
    </row>
    <row r="45" spans="1:11" x14ac:dyDescent="0.2">
      <c r="A45" s="65" t="s">
        <v>204</v>
      </c>
      <c r="B45" s="53">
        <v>3691</v>
      </c>
      <c r="C45" s="53">
        <v>3771</v>
      </c>
      <c r="D45" s="53">
        <v>3600</v>
      </c>
      <c r="E45" s="53">
        <v>3746</v>
      </c>
      <c r="F45" s="53">
        <v>3445</v>
      </c>
      <c r="G45" s="53">
        <v>3851</v>
      </c>
      <c r="H45" s="53">
        <v>3758</v>
      </c>
      <c r="I45" s="53">
        <v>3577</v>
      </c>
      <c r="J45" s="53">
        <v>3499</v>
      </c>
      <c r="K45" s="54">
        <v>3533</v>
      </c>
    </row>
    <row r="46" spans="1:11" x14ac:dyDescent="0.2">
      <c r="A46" s="108" t="s">
        <v>39</v>
      </c>
      <c r="B46" s="105" t="s">
        <v>0</v>
      </c>
      <c r="C46" s="105" t="s">
        <v>0</v>
      </c>
      <c r="D46" s="105" t="s">
        <v>0</v>
      </c>
      <c r="E46" s="105" t="s">
        <v>0</v>
      </c>
      <c r="F46" s="105" t="s">
        <v>0</v>
      </c>
      <c r="G46" s="53">
        <v>3879</v>
      </c>
      <c r="H46" s="53">
        <v>2720</v>
      </c>
      <c r="I46" s="53">
        <v>2462</v>
      </c>
      <c r="J46" s="53">
        <v>2190</v>
      </c>
      <c r="K46" s="54">
        <v>2568</v>
      </c>
    </row>
    <row r="47" spans="1:11" x14ac:dyDescent="0.2">
      <c r="A47" s="65" t="s">
        <v>210</v>
      </c>
      <c r="B47" s="53">
        <v>8733</v>
      </c>
      <c r="C47" s="53">
        <v>8099</v>
      </c>
      <c r="D47" s="53">
        <v>7478</v>
      </c>
      <c r="E47" s="53">
        <v>9965</v>
      </c>
      <c r="F47" s="53">
        <v>12173</v>
      </c>
      <c r="G47" s="53">
        <v>14526</v>
      </c>
      <c r="H47" s="53">
        <v>14180</v>
      </c>
      <c r="I47" s="53">
        <v>13995</v>
      </c>
      <c r="J47" s="53">
        <v>12243</v>
      </c>
      <c r="K47" s="54">
        <v>11475</v>
      </c>
    </row>
    <row r="48" spans="1:11" x14ac:dyDescent="0.2">
      <c r="A48" s="65" t="s">
        <v>46</v>
      </c>
      <c r="B48" s="105" t="s">
        <v>0</v>
      </c>
      <c r="C48" s="105" t="s">
        <v>0</v>
      </c>
      <c r="D48" s="105" t="s">
        <v>0</v>
      </c>
      <c r="E48" s="105" t="s">
        <v>0</v>
      </c>
      <c r="F48" s="105" t="s">
        <v>0</v>
      </c>
      <c r="G48" s="105" t="s">
        <v>0</v>
      </c>
      <c r="H48" s="53">
        <v>3317</v>
      </c>
      <c r="I48" s="105" t="s">
        <v>0</v>
      </c>
      <c r="J48" s="105" t="s">
        <v>0</v>
      </c>
      <c r="K48" s="107" t="s">
        <v>0</v>
      </c>
    </row>
    <row r="49" spans="1:11" x14ac:dyDescent="0.2">
      <c r="A49" s="55" t="s">
        <v>65</v>
      </c>
      <c r="B49" s="56">
        <v>65676</v>
      </c>
      <c r="C49" s="56">
        <v>61802</v>
      </c>
      <c r="D49" s="56">
        <v>62803</v>
      </c>
      <c r="E49" s="56">
        <v>70268</v>
      </c>
      <c r="F49" s="56">
        <v>68225</v>
      </c>
      <c r="G49" s="56">
        <v>93500</v>
      </c>
      <c r="H49" s="56">
        <v>95376</v>
      </c>
      <c r="I49" s="56">
        <v>79386</v>
      </c>
      <c r="J49" s="56">
        <v>73717</v>
      </c>
      <c r="K49" s="57">
        <v>78505</v>
      </c>
    </row>
    <row r="50" spans="1:11" x14ac:dyDescent="0.2">
      <c r="A50" s="55" t="s">
        <v>211</v>
      </c>
      <c r="B50" s="56">
        <v>105257</v>
      </c>
      <c r="C50" s="56">
        <v>96072</v>
      </c>
      <c r="D50" s="56">
        <v>99078</v>
      </c>
      <c r="E50" s="56">
        <v>107631</v>
      </c>
      <c r="F50" s="56">
        <v>106452</v>
      </c>
      <c r="G50" s="56">
        <v>131202</v>
      </c>
      <c r="H50" s="56">
        <v>135245</v>
      </c>
      <c r="I50" s="56">
        <v>113005</v>
      </c>
      <c r="J50" s="56">
        <v>105222</v>
      </c>
      <c r="K50" s="57">
        <v>112626</v>
      </c>
    </row>
    <row r="51" spans="1:11" x14ac:dyDescent="0.2">
      <c r="A51" s="65" t="s">
        <v>212</v>
      </c>
      <c r="B51" s="53"/>
      <c r="C51" s="53"/>
      <c r="D51" s="53"/>
      <c r="E51" s="53"/>
      <c r="F51" s="53"/>
      <c r="G51" s="53"/>
      <c r="H51" s="53"/>
      <c r="I51" s="53"/>
      <c r="J51" s="53"/>
      <c r="K51" s="54"/>
    </row>
    <row r="52" spans="1:11" x14ac:dyDescent="0.2">
      <c r="A52" s="65" t="s">
        <v>213</v>
      </c>
      <c r="B52" s="53"/>
      <c r="C52" s="53"/>
      <c r="D52" s="53"/>
      <c r="E52" s="53"/>
      <c r="F52" s="53"/>
      <c r="G52" s="53"/>
      <c r="H52" s="53"/>
      <c r="I52" s="53"/>
      <c r="J52" s="53"/>
      <c r="K52" s="54"/>
    </row>
    <row r="53" spans="1:11" x14ac:dyDescent="0.2">
      <c r="A53" s="65" t="s">
        <v>214</v>
      </c>
      <c r="B53" s="53"/>
      <c r="C53" s="53"/>
      <c r="D53" s="53"/>
      <c r="E53" s="53"/>
      <c r="F53" s="53"/>
      <c r="G53" s="53"/>
      <c r="H53" s="53"/>
      <c r="I53" s="53"/>
      <c r="J53" s="53"/>
      <c r="K53" s="54"/>
    </row>
    <row r="54" spans="1:11" ht="30" x14ac:dyDescent="0.2">
      <c r="A54" s="106" t="s">
        <v>55</v>
      </c>
      <c r="B54" s="53">
        <v>52666</v>
      </c>
      <c r="C54" s="53">
        <v>53262</v>
      </c>
      <c r="D54" s="53">
        <v>53935</v>
      </c>
      <c r="E54" s="53">
        <v>54566</v>
      </c>
      <c r="F54" s="53">
        <v>55151</v>
      </c>
      <c r="G54" s="53">
        <v>55895</v>
      </c>
      <c r="H54" s="53">
        <v>56556</v>
      </c>
      <c r="I54" s="53">
        <v>57319</v>
      </c>
      <c r="J54" s="53">
        <v>58343</v>
      </c>
      <c r="K54" s="54">
        <v>59643</v>
      </c>
    </row>
    <row r="55" spans="1:11" x14ac:dyDescent="0.2">
      <c r="A55" s="69" t="s">
        <v>215</v>
      </c>
      <c r="B55" s="53">
        <v>137793</v>
      </c>
      <c r="C55" s="53">
        <v>146124</v>
      </c>
      <c r="D55" s="53">
        <v>152759</v>
      </c>
      <c r="E55" s="53">
        <v>153126</v>
      </c>
      <c r="F55" s="53">
        <v>159205</v>
      </c>
      <c r="G55" s="53">
        <v>162956</v>
      </c>
      <c r="H55" s="53">
        <v>162717</v>
      </c>
      <c r="I55" s="53">
        <v>154208</v>
      </c>
      <c r="J55" s="53">
        <v>149825</v>
      </c>
      <c r="K55" s="54">
        <v>151276</v>
      </c>
    </row>
    <row r="56" spans="1:11" x14ac:dyDescent="0.2">
      <c r="A56" s="106" t="s">
        <v>57</v>
      </c>
      <c r="B56" s="53">
        <v>-150715</v>
      </c>
      <c r="C56" s="53">
        <v>-155518</v>
      </c>
      <c r="D56" s="53">
        <v>-159050</v>
      </c>
      <c r="E56" s="53">
        <v>-163507</v>
      </c>
      <c r="F56" s="53">
        <v>-168071</v>
      </c>
      <c r="G56" s="53">
        <v>-169413</v>
      </c>
      <c r="H56" s="53">
        <v>-169339</v>
      </c>
      <c r="I56" s="53">
        <v>-169392</v>
      </c>
      <c r="J56" s="53">
        <v>-169484</v>
      </c>
      <c r="K56" s="54">
        <v>-169624</v>
      </c>
    </row>
    <row r="57" spans="1:11" x14ac:dyDescent="0.2">
      <c r="A57" s="69" t="s">
        <v>216</v>
      </c>
      <c r="B57" s="53">
        <v>-27875</v>
      </c>
      <c r="C57" s="53">
        <v>-29607</v>
      </c>
      <c r="D57" s="53">
        <v>-29398</v>
      </c>
      <c r="E57" s="53">
        <v>-26592</v>
      </c>
      <c r="F57" s="53">
        <v>-29490</v>
      </c>
      <c r="G57" s="53">
        <v>-28597</v>
      </c>
      <c r="H57" s="53">
        <v>-29337</v>
      </c>
      <c r="I57" s="53">
        <v>-23234</v>
      </c>
      <c r="J57" s="53">
        <v>-16740</v>
      </c>
      <c r="K57" s="54">
        <v>-18761</v>
      </c>
    </row>
    <row r="58" spans="1:11" x14ac:dyDescent="0.2">
      <c r="A58" s="69" t="s">
        <v>217</v>
      </c>
      <c r="B58" s="53">
        <v>11869</v>
      </c>
      <c r="C58" s="53">
        <v>14261</v>
      </c>
      <c r="D58" s="53">
        <v>18246</v>
      </c>
      <c r="E58" s="53">
        <v>17593</v>
      </c>
      <c r="F58" s="53">
        <v>16795</v>
      </c>
      <c r="G58" s="53">
        <v>20841</v>
      </c>
      <c r="H58" s="53">
        <v>20597</v>
      </c>
      <c r="I58" s="53">
        <v>18901</v>
      </c>
      <c r="J58" s="53">
        <v>21944</v>
      </c>
      <c r="K58" s="54">
        <v>22534</v>
      </c>
    </row>
    <row r="59" spans="1:11" x14ac:dyDescent="0.2">
      <c r="A59" s="65" t="s">
        <v>218</v>
      </c>
      <c r="B59" s="53">
        <v>146</v>
      </c>
      <c r="C59" s="53">
        <v>162</v>
      </c>
      <c r="D59" s="53">
        <v>146</v>
      </c>
      <c r="E59" s="53">
        <v>131</v>
      </c>
      <c r="F59" s="53">
        <v>134</v>
      </c>
      <c r="G59" s="53">
        <v>144</v>
      </c>
      <c r="H59" s="53">
        <v>129</v>
      </c>
      <c r="I59" s="53">
        <v>95</v>
      </c>
      <c r="J59" s="53">
        <v>77</v>
      </c>
      <c r="K59" s="54">
        <v>80</v>
      </c>
    </row>
    <row r="60" spans="1:11" ht="15.75" thickBot="1" x14ac:dyDescent="0.25">
      <c r="A60" s="58" t="s">
        <v>219</v>
      </c>
      <c r="B60" s="59">
        <v>12015</v>
      </c>
      <c r="C60" s="59">
        <v>14423</v>
      </c>
      <c r="D60" s="59">
        <v>18392</v>
      </c>
      <c r="E60" s="59">
        <v>17724</v>
      </c>
      <c r="F60" s="59">
        <v>16929</v>
      </c>
      <c r="G60" s="59">
        <v>20985</v>
      </c>
      <c r="H60" s="59">
        <v>20726</v>
      </c>
      <c r="I60" s="59">
        <v>18996</v>
      </c>
      <c r="J60" s="59">
        <v>22021</v>
      </c>
      <c r="K60" s="60">
        <v>22614</v>
      </c>
    </row>
    <row r="61" spans="1:11" ht="15.75" thickBot="1" x14ac:dyDescent="0.25">
      <c r="A61" s="46" t="s">
        <v>220</v>
      </c>
      <c r="B61" s="62">
        <v>117272</v>
      </c>
      <c r="C61" s="62">
        <v>110495</v>
      </c>
      <c r="D61" s="62">
        <v>117470</v>
      </c>
      <c r="E61" s="62">
        <v>125355</v>
      </c>
      <c r="F61" s="62">
        <v>123381</v>
      </c>
      <c r="G61" s="62">
        <v>152187</v>
      </c>
      <c r="H61" s="62">
        <v>155971</v>
      </c>
      <c r="I61" s="62">
        <v>132001</v>
      </c>
      <c r="J61" s="62">
        <v>127243</v>
      </c>
      <c r="K61" s="63">
        <v>135240</v>
      </c>
    </row>
    <row r="62" spans="1:11" x14ac:dyDescent="0.2">
      <c r="E62" s="53"/>
    </row>
  </sheetData>
  <mergeCells count="1">
    <mergeCell ref="A1:K1"/>
  </mergeCells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showGridLines="0" zoomScaleNormal="100" workbookViewId="0">
      <selection sqref="A1:K1"/>
    </sheetView>
  </sheetViews>
  <sheetFormatPr defaultRowHeight="15" x14ac:dyDescent="0.2"/>
  <cols>
    <col min="1" max="1" width="64.5" style="3" customWidth="1"/>
    <col min="2" max="3" width="15.5" style="10" customWidth="1"/>
    <col min="4" max="11" width="15.5" style="3" customWidth="1"/>
    <col min="12" max="16384" width="9.33203125" style="3"/>
  </cols>
  <sheetData>
    <row r="1" spans="1:11" ht="46.5" customHeight="1" thickBot="1" x14ac:dyDescent="0.25">
      <c r="A1" s="345" t="s">
        <v>306</v>
      </c>
      <c r="B1" s="346"/>
      <c r="C1" s="346"/>
      <c r="D1" s="346"/>
      <c r="E1" s="346"/>
      <c r="F1" s="346"/>
      <c r="G1" s="346"/>
      <c r="H1" s="346"/>
      <c r="I1" s="346"/>
      <c r="J1" s="346"/>
      <c r="K1" s="347"/>
    </row>
    <row r="2" spans="1:11" ht="15.75" thickBot="1" x14ac:dyDescent="0.25">
      <c r="A2" s="46" t="s">
        <v>257</v>
      </c>
      <c r="B2" s="111">
        <v>2014</v>
      </c>
      <c r="C2" s="111">
        <v>2015</v>
      </c>
      <c r="D2" s="111">
        <v>2016</v>
      </c>
      <c r="E2" s="111">
        <v>2017</v>
      </c>
      <c r="F2" s="111">
        <v>2018</v>
      </c>
      <c r="G2" s="111">
        <v>2019</v>
      </c>
      <c r="H2" s="111">
        <v>2020</v>
      </c>
      <c r="I2" s="111">
        <v>2021</v>
      </c>
      <c r="J2" s="111">
        <v>2022</v>
      </c>
      <c r="K2" s="112">
        <v>2023</v>
      </c>
    </row>
    <row r="3" spans="1:11" x14ac:dyDescent="0.2">
      <c r="A3" s="120" t="s">
        <v>33</v>
      </c>
      <c r="B3" s="7"/>
      <c r="C3" s="7"/>
      <c r="D3" s="7"/>
      <c r="E3" s="7"/>
      <c r="F3" s="7"/>
      <c r="G3" s="7"/>
      <c r="H3" s="7"/>
      <c r="I3" s="7"/>
      <c r="J3" s="7"/>
      <c r="K3" s="113"/>
    </row>
    <row r="4" spans="1:11" x14ac:dyDescent="0.2">
      <c r="A4" s="66" t="s">
        <v>1</v>
      </c>
      <c r="B4" s="7">
        <v>12023</v>
      </c>
      <c r="C4" s="7">
        <v>13191</v>
      </c>
      <c r="D4" s="7">
        <v>11873</v>
      </c>
      <c r="E4" s="7">
        <v>5752</v>
      </c>
      <c r="F4" s="7">
        <v>8729</v>
      </c>
      <c r="G4" s="7">
        <v>9432</v>
      </c>
      <c r="H4" s="7">
        <v>5590</v>
      </c>
      <c r="I4" s="7">
        <v>5743</v>
      </c>
      <c r="J4" s="7">
        <v>1639</v>
      </c>
      <c r="K4" s="113">
        <v>7501</v>
      </c>
    </row>
    <row r="5" spans="1:11" ht="30" x14ac:dyDescent="0.2">
      <c r="A5" s="66" t="s">
        <v>48</v>
      </c>
      <c r="B5" s="7"/>
      <c r="C5" s="7"/>
      <c r="D5" s="7"/>
      <c r="E5" s="7"/>
      <c r="F5" s="7"/>
      <c r="G5" s="7"/>
      <c r="H5" s="7"/>
      <c r="I5" s="7"/>
      <c r="J5" s="7"/>
      <c r="K5" s="113"/>
    </row>
    <row r="6" spans="1:11" x14ac:dyDescent="0.2">
      <c r="A6" s="121" t="s">
        <v>221</v>
      </c>
      <c r="B6" s="105" t="s">
        <v>0</v>
      </c>
      <c r="C6" s="105" t="s">
        <v>0</v>
      </c>
      <c r="D6" s="105" t="s">
        <v>0</v>
      </c>
      <c r="E6" s="105" t="s">
        <v>0</v>
      </c>
      <c r="F6" s="105" t="s">
        <v>0</v>
      </c>
      <c r="G6" s="105" t="s">
        <v>0</v>
      </c>
      <c r="H6" s="105" t="s">
        <v>0</v>
      </c>
      <c r="I6" s="105" t="s">
        <v>0</v>
      </c>
      <c r="J6" s="7">
        <v>5894</v>
      </c>
      <c r="K6" s="113" t="s">
        <v>307</v>
      </c>
    </row>
    <row r="7" spans="1:11" x14ac:dyDescent="0.2">
      <c r="A7" s="121" t="s">
        <v>2</v>
      </c>
      <c r="B7" s="7">
        <v>3145</v>
      </c>
      <c r="C7" s="7">
        <v>2662</v>
      </c>
      <c r="D7" s="7">
        <v>2837</v>
      </c>
      <c r="E7" s="7">
        <v>3021</v>
      </c>
      <c r="F7" s="7">
        <v>3127</v>
      </c>
      <c r="G7" s="7">
        <v>4209</v>
      </c>
      <c r="H7" s="7">
        <v>4227</v>
      </c>
      <c r="I7" s="7">
        <v>3888</v>
      </c>
      <c r="J7" s="7">
        <v>2407</v>
      </c>
      <c r="K7" s="113">
        <v>2109</v>
      </c>
    </row>
    <row r="8" spans="1:11" x14ac:dyDescent="0.2">
      <c r="A8" s="121" t="s">
        <v>3</v>
      </c>
      <c r="B8" s="7">
        <v>1347</v>
      </c>
      <c r="C8" s="7">
        <v>1193</v>
      </c>
      <c r="D8" s="7">
        <v>1544</v>
      </c>
      <c r="E8" s="7">
        <v>1520</v>
      </c>
      <c r="F8" s="7">
        <v>1353</v>
      </c>
      <c r="G8" s="7">
        <v>1850</v>
      </c>
      <c r="H8" s="7">
        <v>2468</v>
      </c>
      <c r="I8" s="7">
        <v>2529</v>
      </c>
      <c r="J8" s="7">
        <v>2395</v>
      </c>
      <c r="K8" s="113">
        <v>2287</v>
      </c>
    </row>
    <row r="9" spans="1:11" x14ac:dyDescent="0.2">
      <c r="A9" s="121" t="s">
        <v>4</v>
      </c>
      <c r="B9" s="7">
        <v>512</v>
      </c>
      <c r="C9" s="7">
        <v>468</v>
      </c>
      <c r="D9" s="7">
        <v>544</v>
      </c>
      <c r="E9" s="7">
        <v>534</v>
      </c>
      <c r="F9" s="7">
        <v>510</v>
      </c>
      <c r="G9" s="7">
        <v>679</v>
      </c>
      <c r="H9" s="7">
        <v>937</v>
      </c>
      <c r="I9" s="7">
        <v>982</v>
      </c>
      <c r="J9" s="7">
        <v>987</v>
      </c>
      <c r="K9" s="113">
        <v>1133</v>
      </c>
    </row>
    <row r="10" spans="1:11" x14ac:dyDescent="0.2">
      <c r="A10" s="121" t="s">
        <v>5</v>
      </c>
      <c r="B10" s="7">
        <v>-237</v>
      </c>
      <c r="C10" s="7">
        <v>1387</v>
      </c>
      <c r="D10" s="7">
        <v>-1132</v>
      </c>
      <c r="E10" s="7">
        <v>-931</v>
      </c>
      <c r="F10" s="7">
        <v>853</v>
      </c>
      <c r="G10" s="7">
        <v>-1527</v>
      </c>
      <c r="H10" s="7">
        <v>-3203</v>
      </c>
      <c r="I10" s="7">
        <v>-2001</v>
      </c>
      <c r="J10" s="7">
        <v>-2726</v>
      </c>
      <c r="K10" s="113">
        <v>-1114</v>
      </c>
    </row>
    <row r="11" spans="1:11" x14ac:dyDescent="0.2">
      <c r="A11" s="121" t="s">
        <v>14</v>
      </c>
      <c r="B11" s="7">
        <v>-1535</v>
      </c>
      <c r="C11" s="7">
        <v>481</v>
      </c>
      <c r="D11" s="7">
        <v>62</v>
      </c>
      <c r="E11" s="7">
        <v>14</v>
      </c>
      <c r="F11" s="7">
        <v>123</v>
      </c>
      <c r="G11" s="7">
        <v>-1096</v>
      </c>
      <c r="H11" s="7">
        <v>-70</v>
      </c>
      <c r="I11" s="7">
        <v>-307</v>
      </c>
      <c r="J11" s="7">
        <v>-122</v>
      </c>
      <c r="K11" s="113">
        <v>-170</v>
      </c>
    </row>
    <row r="12" spans="1:11" x14ac:dyDescent="0.2">
      <c r="A12" s="121" t="s">
        <v>222</v>
      </c>
      <c r="B12" s="7">
        <v>3381</v>
      </c>
      <c r="C12" s="7">
        <v>71</v>
      </c>
      <c r="D12" s="105" t="s">
        <v>0</v>
      </c>
      <c r="E12" s="105" t="s">
        <v>0</v>
      </c>
      <c r="F12" s="105" t="s">
        <v>0</v>
      </c>
      <c r="G12" s="105" t="s">
        <v>0</v>
      </c>
      <c r="H12" s="105" t="s">
        <v>0</v>
      </c>
      <c r="I12" s="105" t="s">
        <v>0</v>
      </c>
      <c r="J12" s="105" t="s">
        <v>0</v>
      </c>
      <c r="K12" s="107" t="s">
        <v>0</v>
      </c>
    </row>
    <row r="13" spans="1:11" ht="30" x14ac:dyDescent="0.2">
      <c r="A13" s="66" t="s">
        <v>6</v>
      </c>
      <c r="B13" s="7"/>
      <c r="C13" s="7"/>
      <c r="D13" s="7"/>
      <c r="E13" s="7"/>
      <c r="F13" s="7"/>
      <c r="G13" s="7"/>
      <c r="H13" s="7"/>
      <c r="I13" s="7"/>
      <c r="J13" s="7"/>
      <c r="K13" s="113"/>
    </row>
    <row r="14" spans="1:11" x14ac:dyDescent="0.2">
      <c r="A14" s="121" t="s">
        <v>34</v>
      </c>
      <c r="B14" s="7">
        <v>1270</v>
      </c>
      <c r="C14" s="7">
        <v>812</v>
      </c>
      <c r="D14" s="7">
        <v>712</v>
      </c>
      <c r="E14" s="7">
        <v>1297</v>
      </c>
      <c r="F14" s="7">
        <v>1006</v>
      </c>
      <c r="G14" s="7">
        <v>502</v>
      </c>
      <c r="H14" s="7">
        <v>5297</v>
      </c>
      <c r="I14" s="7">
        <v>1372</v>
      </c>
      <c r="J14" s="7">
        <v>-539</v>
      </c>
      <c r="K14" s="113">
        <v>725</v>
      </c>
    </row>
    <row r="15" spans="1:11" x14ac:dyDescent="0.2">
      <c r="A15" s="121" t="s">
        <v>7</v>
      </c>
      <c r="B15" s="7">
        <v>-655</v>
      </c>
      <c r="C15" s="7">
        <v>-22</v>
      </c>
      <c r="D15" s="7">
        <v>54</v>
      </c>
      <c r="E15" s="7">
        <v>1014</v>
      </c>
      <c r="F15" s="7">
        <v>1368</v>
      </c>
      <c r="G15" s="7">
        <v>301</v>
      </c>
      <c r="H15" s="7">
        <v>936</v>
      </c>
      <c r="I15" s="7">
        <v>1038</v>
      </c>
      <c r="J15" s="7">
        <v>331</v>
      </c>
      <c r="K15" s="113">
        <v>-462</v>
      </c>
    </row>
    <row r="16" spans="1:11" x14ac:dyDescent="0.2">
      <c r="A16" s="121" t="s">
        <v>8</v>
      </c>
      <c r="B16" s="7">
        <v>-39</v>
      </c>
      <c r="C16" s="7">
        <v>133</v>
      </c>
      <c r="D16" s="7">
        <v>-14</v>
      </c>
      <c r="E16" s="7">
        <v>18</v>
      </c>
      <c r="F16" s="7">
        <v>-127</v>
      </c>
      <c r="G16" s="7">
        <v>67</v>
      </c>
      <c r="H16" s="7">
        <v>-209</v>
      </c>
      <c r="I16" s="7">
        <v>138</v>
      </c>
      <c r="J16" s="7">
        <v>71</v>
      </c>
      <c r="K16" s="113">
        <v>390</v>
      </c>
    </row>
    <row r="17" spans="1:11" x14ac:dyDescent="0.2">
      <c r="A17" s="121" t="s">
        <v>9</v>
      </c>
      <c r="B17" s="7">
        <v>-1886</v>
      </c>
      <c r="C17" s="7">
        <v>-3200</v>
      </c>
      <c r="D17" s="7">
        <v>408</v>
      </c>
      <c r="E17" s="7">
        <v>4437</v>
      </c>
      <c r="F17" s="7">
        <v>-1819</v>
      </c>
      <c r="G17" s="7">
        <v>858</v>
      </c>
      <c r="H17" s="7">
        <v>2087</v>
      </c>
      <c r="I17" s="7">
        <v>-671</v>
      </c>
      <c r="J17" s="7">
        <v>-115</v>
      </c>
      <c r="K17" s="113">
        <v>1466</v>
      </c>
    </row>
    <row r="18" spans="1:11" ht="15.75" thickBot="1" x14ac:dyDescent="0.25">
      <c r="A18" s="121" t="s">
        <v>10</v>
      </c>
      <c r="B18" s="7">
        <v>-456</v>
      </c>
      <c r="C18" s="7">
        <v>81</v>
      </c>
      <c r="D18" s="7">
        <v>197</v>
      </c>
      <c r="E18" s="7">
        <v>47</v>
      </c>
      <c r="F18" s="7">
        <v>126</v>
      </c>
      <c r="G18" s="7">
        <v>-503</v>
      </c>
      <c r="H18" s="7">
        <v>138</v>
      </c>
      <c r="I18" s="7">
        <v>85</v>
      </c>
      <c r="J18" s="7">
        <v>213</v>
      </c>
      <c r="K18" s="113">
        <v>65</v>
      </c>
    </row>
    <row r="19" spans="1:11" ht="15.75" thickBot="1" x14ac:dyDescent="0.25">
      <c r="A19" s="122" t="s">
        <v>11</v>
      </c>
      <c r="B19" s="114">
        <v>16870</v>
      </c>
      <c r="C19" s="114">
        <v>17257</v>
      </c>
      <c r="D19" s="114">
        <v>17085</v>
      </c>
      <c r="E19" s="114">
        <v>16723</v>
      </c>
      <c r="F19" s="114">
        <v>15249</v>
      </c>
      <c r="G19" s="114">
        <v>14772</v>
      </c>
      <c r="H19" s="114">
        <v>18198</v>
      </c>
      <c r="I19" s="114">
        <v>12796</v>
      </c>
      <c r="J19" s="114">
        <v>10435</v>
      </c>
      <c r="K19" s="115">
        <v>13930</v>
      </c>
    </row>
    <row r="20" spans="1:11" x14ac:dyDescent="0.2">
      <c r="A20" s="120" t="s">
        <v>35</v>
      </c>
      <c r="B20" s="7"/>
      <c r="C20" s="7"/>
      <c r="D20" s="7"/>
      <c r="E20" s="7"/>
      <c r="F20" s="7"/>
      <c r="G20" s="7"/>
      <c r="H20" s="7"/>
      <c r="I20" s="7"/>
      <c r="J20" s="7"/>
      <c r="K20" s="113"/>
    </row>
    <row r="21" spans="1:11" x14ac:dyDescent="0.2">
      <c r="A21" s="66" t="s">
        <v>12</v>
      </c>
      <c r="B21" s="7">
        <v>-3740</v>
      </c>
      <c r="C21" s="7">
        <v>-3579</v>
      </c>
      <c r="D21" s="7">
        <v>-3567</v>
      </c>
      <c r="E21" s="7">
        <v>-3229</v>
      </c>
      <c r="F21" s="7">
        <v>-3395</v>
      </c>
      <c r="G21" s="7">
        <v>-2286</v>
      </c>
      <c r="H21" s="7">
        <v>-2618</v>
      </c>
      <c r="I21" s="7">
        <v>-2062</v>
      </c>
      <c r="J21" s="7">
        <v>-1346</v>
      </c>
      <c r="K21" s="113">
        <v>-1245</v>
      </c>
    </row>
    <row r="22" spans="1:11" x14ac:dyDescent="0.2">
      <c r="A22" s="332" t="s">
        <v>13</v>
      </c>
      <c r="B22" s="7">
        <v>404</v>
      </c>
      <c r="C22" s="7">
        <v>370</v>
      </c>
      <c r="D22" s="7">
        <v>424</v>
      </c>
      <c r="E22" s="7">
        <v>460</v>
      </c>
      <c r="F22" s="7">
        <v>248</v>
      </c>
      <c r="G22" s="7">
        <v>537</v>
      </c>
      <c r="H22" s="7">
        <v>188</v>
      </c>
      <c r="I22" s="7">
        <v>387</v>
      </c>
      <c r="J22" s="7">
        <v>111</v>
      </c>
      <c r="K22" s="113">
        <v>321</v>
      </c>
    </row>
    <row r="23" spans="1:11" x14ac:dyDescent="0.2">
      <c r="A23" s="66" t="s">
        <v>15</v>
      </c>
      <c r="B23" s="7">
        <v>-443</v>
      </c>
      <c r="C23" s="7">
        <v>-572</v>
      </c>
      <c r="D23" s="7">
        <v>-583</v>
      </c>
      <c r="E23" s="7">
        <v>-544</v>
      </c>
      <c r="F23" s="7">
        <v>-569</v>
      </c>
      <c r="G23" s="7">
        <v>-621</v>
      </c>
      <c r="H23" s="7">
        <v>-612</v>
      </c>
      <c r="I23" s="7">
        <v>-706</v>
      </c>
      <c r="J23" s="7">
        <v>-626</v>
      </c>
      <c r="K23" s="113">
        <v>-565</v>
      </c>
    </row>
    <row r="24" spans="1:11" x14ac:dyDescent="0.2">
      <c r="A24" s="66" t="s">
        <v>16</v>
      </c>
      <c r="B24" s="7">
        <v>-2338</v>
      </c>
      <c r="C24" s="7">
        <v>-3073</v>
      </c>
      <c r="D24" s="7">
        <v>-5853</v>
      </c>
      <c r="E24" s="7">
        <v>-4949</v>
      </c>
      <c r="F24" s="7">
        <v>-7041</v>
      </c>
      <c r="G24" s="7">
        <v>-3693</v>
      </c>
      <c r="H24" s="7">
        <v>-6246</v>
      </c>
      <c r="I24" s="7">
        <v>-3561</v>
      </c>
      <c r="J24" s="7">
        <v>-5930</v>
      </c>
      <c r="K24" s="113">
        <v>-11143</v>
      </c>
    </row>
    <row r="25" spans="1:11" ht="30" x14ac:dyDescent="0.2">
      <c r="A25" s="66" t="s">
        <v>17</v>
      </c>
      <c r="B25" s="7">
        <v>2493</v>
      </c>
      <c r="C25" s="7">
        <v>2842</v>
      </c>
      <c r="D25" s="7">
        <v>5692</v>
      </c>
      <c r="E25" s="7">
        <v>3910</v>
      </c>
      <c r="F25" s="7">
        <v>6487</v>
      </c>
      <c r="G25" s="7">
        <v>3961</v>
      </c>
      <c r="H25" s="7">
        <v>5618</v>
      </c>
      <c r="I25" s="7">
        <v>3147</v>
      </c>
      <c r="J25" s="7">
        <v>4665</v>
      </c>
      <c r="K25" s="113">
        <v>10647</v>
      </c>
    </row>
    <row r="26" spans="1:11" x14ac:dyDescent="0.2">
      <c r="A26" s="66" t="s">
        <v>36</v>
      </c>
      <c r="B26" s="7">
        <v>-1078</v>
      </c>
      <c r="C26" s="7">
        <v>-398</v>
      </c>
      <c r="D26" s="7">
        <v>-891</v>
      </c>
      <c r="E26" s="7">
        <v>-2028</v>
      </c>
      <c r="F26" s="7">
        <v>-503</v>
      </c>
      <c r="G26" s="7">
        <v>6720</v>
      </c>
      <c r="H26" s="7">
        <v>475</v>
      </c>
      <c r="I26" s="7">
        <v>0</v>
      </c>
      <c r="J26" s="7">
        <v>0</v>
      </c>
      <c r="K26" s="107" t="s">
        <v>0</v>
      </c>
    </row>
    <row r="27" spans="1:11" x14ac:dyDescent="0.2">
      <c r="A27" s="66" t="s">
        <v>18</v>
      </c>
      <c r="B27" s="7">
        <v>-656</v>
      </c>
      <c r="C27" s="7">
        <v>-3349</v>
      </c>
      <c r="D27" s="7">
        <v>-5696</v>
      </c>
      <c r="E27" s="7">
        <v>-496</v>
      </c>
      <c r="F27" s="7">
        <v>-139</v>
      </c>
      <c r="G27" s="7">
        <v>-32630</v>
      </c>
      <c r="H27" s="7">
        <v>-336</v>
      </c>
      <c r="I27" s="7">
        <v>-3293</v>
      </c>
      <c r="J27" s="7">
        <v>-2348</v>
      </c>
      <c r="K27" s="113">
        <v>-5082</v>
      </c>
    </row>
    <row r="28" spans="1:11" ht="15.75" thickBot="1" x14ac:dyDescent="0.25">
      <c r="A28" s="66" t="s">
        <v>19</v>
      </c>
      <c r="B28" s="7">
        <v>2357</v>
      </c>
      <c r="C28" s="7">
        <v>-401</v>
      </c>
      <c r="D28" s="7">
        <v>-454</v>
      </c>
      <c r="E28" s="7">
        <v>-205</v>
      </c>
      <c r="F28" s="105" t="s">
        <v>0</v>
      </c>
      <c r="G28" s="105">
        <v>1076</v>
      </c>
      <c r="H28" s="105">
        <v>503</v>
      </c>
      <c r="I28" s="105">
        <v>114</v>
      </c>
      <c r="J28" s="105">
        <v>1272</v>
      </c>
      <c r="K28" s="107">
        <v>-4</v>
      </c>
    </row>
    <row r="29" spans="1:11" ht="15.75" thickBot="1" x14ac:dyDescent="0.25">
      <c r="A29" s="122" t="s">
        <v>20</v>
      </c>
      <c r="B29" s="114">
        <v>-3001</v>
      </c>
      <c r="C29" s="114">
        <v>-8160</v>
      </c>
      <c r="D29" s="114">
        <v>-10928</v>
      </c>
      <c r="E29" s="114">
        <v>-7081</v>
      </c>
      <c r="F29" s="114">
        <v>-4912</v>
      </c>
      <c r="G29" s="114">
        <v>-26936</v>
      </c>
      <c r="H29" s="114">
        <v>-3028</v>
      </c>
      <c r="I29" s="114">
        <v>-5974</v>
      </c>
      <c r="J29" s="114">
        <v>-4202</v>
      </c>
      <c r="K29" s="115">
        <v>-7071</v>
      </c>
    </row>
    <row r="30" spans="1:11" x14ac:dyDescent="0.2">
      <c r="A30" s="120" t="s">
        <v>37</v>
      </c>
      <c r="B30" s="7"/>
      <c r="C30" s="7"/>
      <c r="D30" s="7"/>
      <c r="E30" s="7"/>
      <c r="F30" s="7"/>
      <c r="G30" s="7"/>
      <c r="H30" s="7"/>
      <c r="I30" s="7"/>
      <c r="J30" s="7"/>
      <c r="K30" s="113"/>
    </row>
    <row r="31" spans="1:11" x14ac:dyDescent="0.2">
      <c r="A31" s="66" t="s">
        <v>21</v>
      </c>
      <c r="B31" s="7">
        <v>8180</v>
      </c>
      <c r="C31" s="7">
        <v>5540</v>
      </c>
      <c r="D31" s="7">
        <v>9132</v>
      </c>
      <c r="E31" s="7">
        <v>9643</v>
      </c>
      <c r="F31" s="7">
        <v>6891</v>
      </c>
      <c r="G31" s="7">
        <v>31825</v>
      </c>
      <c r="H31" s="7">
        <v>10504</v>
      </c>
      <c r="I31" s="7">
        <v>522</v>
      </c>
      <c r="J31" s="7">
        <v>7804</v>
      </c>
      <c r="K31" s="113">
        <v>9586</v>
      </c>
    </row>
    <row r="32" spans="1:11" x14ac:dyDescent="0.2">
      <c r="A32" s="66" t="s">
        <v>22</v>
      </c>
      <c r="B32" s="7">
        <v>-4644</v>
      </c>
      <c r="C32" s="7">
        <v>-5622</v>
      </c>
      <c r="D32" s="7">
        <v>-6395</v>
      </c>
      <c r="E32" s="7">
        <v>-6816</v>
      </c>
      <c r="F32" s="7">
        <v>-8533</v>
      </c>
      <c r="G32" s="7">
        <v>-12944</v>
      </c>
      <c r="H32" s="7">
        <v>-13365</v>
      </c>
      <c r="I32" s="7">
        <v>-8597</v>
      </c>
      <c r="J32" s="7">
        <v>-6800</v>
      </c>
      <c r="K32" s="113">
        <v>-5082</v>
      </c>
    </row>
    <row r="33" spans="1:11" x14ac:dyDescent="0.2">
      <c r="A33" s="332" t="s">
        <v>23</v>
      </c>
      <c r="B33" s="7">
        <v>-1753</v>
      </c>
      <c r="C33" s="7">
        <v>101</v>
      </c>
      <c r="D33" s="7">
        <v>218</v>
      </c>
      <c r="E33" s="7">
        <v>620</v>
      </c>
      <c r="F33" s="7">
        <v>1341</v>
      </c>
      <c r="G33" s="7">
        <v>-2597</v>
      </c>
      <c r="H33" s="7">
        <v>-853</v>
      </c>
      <c r="I33" s="7">
        <v>-40</v>
      </c>
      <c r="J33" s="7">
        <v>217</v>
      </c>
      <c r="K33" s="113">
        <v>-7</v>
      </c>
    </row>
    <row r="34" spans="1:11" x14ac:dyDescent="0.2">
      <c r="A34" s="66" t="s">
        <v>24</v>
      </c>
      <c r="B34" s="7">
        <v>-13679</v>
      </c>
      <c r="C34" s="7">
        <v>-4609</v>
      </c>
      <c r="D34" s="7">
        <v>-3502</v>
      </c>
      <c r="E34" s="7">
        <v>-4340</v>
      </c>
      <c r="F34" s="7">
        <v>-4443</v>
      </c>
      <c r="G34" s="7">
        <v>-1361</v>
      </c>
      <c r="H34" s="7" t="s">
        <v>308</v>
      </c>
      <c r="I34" s="7" t="s">
        <v>309</v>
      </c>
      <c r="J34" s="7" t="s">
        <v>309</v>
      </c>
      <c r="K34" s="107" t="s">
        <v>0</v>
      </c>
    </row>
    <row r="35" spans="1:11" x14ac:dyDescent="0.2">
      <c r="A35" s="66" t="s">
        <v>223</v>
      </c>
      <c r="B35" s="105" t="s">
        <v>0</v>
      </c>
      <c r="C35" s="7">
        <v>-248</v>
      </c>
      <c r="D35" s="7">
        <v>-126</v>
      </c>
      <c r="E35" s="7">
        <v>-193</v>
      </c>
      <c r="F35" s="7">
        <v>-171</v>
      </c>
      <c r="G35" s="7">
        <v>-272</v>
      </c>
      <c r="H35" s="7">
        <v>-302</v>
      </c>
      <c r="I35" s="7">
        <v>-319</v>
      </c>
      <c r="J35" s="7">
        <v>-407</v>
      </c>
      <c r="K35" s="113">
        <v>-402</v>
      </c>
    </row>
    <row r="36" spans="1:11" x14ac:dyDescent="0.2">
      <c r="A36" s="66" t="s">
        <v>224</v>
      </c>
      <c r="B36" s="7">
        <v>709</v>
      </c>
      <c r="C36" s="7">
        <v>322</v>
      </c>
      <c r="D36" s="105" t="s">
        <v>0</v>
      </c>
      <c r="E36" s="105" t="s">
        <v>0</v>
      </c>
      <c r="F36" s="105" t="s">
        <v>0</v>
      </c>
      <c r="G36" s="105" t="s">
        <v>0</v>
      </c>
      <c r="H36" s="105" t="s">
        <v>0</v>
      </c>
      <c r="I36" s="105" t="s">
        <v>0</v>
      </c>
      <c r="J36" s="105" t="s">
        <v>0</v>
      </c>
      <c r="K36" s="107" t="s">
        <v>0</v>
      </c>
    </row>
    <row r="37" spans="1:11" x14ac:dyDescent="0.2">
      <c r="A37" s="66" t="s">
        <v>225</v>
      </c>
      <c r="B37" s="105" t="s">
        <v>0</v>
      </c>
      <c r="C37" s="105" t="s">
        <v>0</v>
      </c>
      <c r="D37" s="7">
        <v>204</v>
      </c>
      <c r="E37" s="7">
        <v>175</v>
      </c>
      <c r="F37" s="7">
        <v>111</v>
      </c>
      <c r="G37" s="7">
        <v>99</v>
      </c>
      <c r="H37" s="7">
        <v>92</v>
      </c>
      <c r="I37" s="7">
        <v>70</v>
      </c>
      <c r="J37" s="7">
        <v>176</v>
      </c>
      <c r="K37" s="113">
        <v>176</v>
      </c>
    </row>
    <row r="38" spans="1:11" x14ac:dyDescent="0.2">
      <c r="A38" s="65" t="s">
        <v>47</v>
      </c>
      <c r="B38" s="105" t="s">
        <v>0</v>
      </c>
      <c r="C38" s="105" t="s">
        <v>0</v>
      </c>
      <c r="D38" s="105" t="s">
        <v>0</v>
      </c>
      <c r="E38" s="105" t="s">
        <v>0</v>
      </c>
      <c r="F38" s="105" t="s">
        <v>0</v>
      </c>
      <c r="G38" s="105" t="s">
        <v>0</v>
      </c>
      <c r="H38" s="105" t="s">
        <v>0</v>
      </c>
      <c r="I38" s="7">
        <v>879</v>
      </c>
      <c r="J38" s="7" t="s">
        <v>307</v>
      </c>
      <c r="K38" s="113" t="s">
        <v>307</v>
      </c>
    </row>
    <row r="39" spans="1:11" ht="15.75" thickBot="1" x14ac:dyDescent="0.25">
      <c r="A39" s="66" t="s">
        <v>25</v>
      </c>
      <c r="B39" s="7">
        <v>-4265</v>
      </c>
      <c r="C39" s="7">
        <v>-4897</v>
      </c>
      <c r="D39" s="7">
        <v>-5256</v>
      </c>
      <c r="E39" s="7">
        <v>-5506</v>
      </c>
      <c r="F39" s="7">
        <v>-5666</v>
      </c>
      <c r="G39" s="7">
        <v>-5707</v>
      </c>
      <c r="H39" s="7">
        <v>-5797</v>
      </c>
      <c r="I39" s="7">
        <v>-5869</v>
      </c>
      <c r="J39" s="7">
        <v>-5948</v>
      </c>
      <c r="K39" s="113">
        <v>-6040</v>
      </c>
    </row>
    <row r="40" spans="1:11" ht="15.75" thickBot="1" x14ac:dyDescent="0.25">
      <c r="A40" s="122" t="s">
        <v>38</v>
      </c>
      <c r="B40" s="114">
        <v>-15452</v>
      </c>
      <c r="C40" s="114">
        <v>-9413</v>
      </c>
      <c r="D40" s="114">
        <v>-5725</v>
      </c>
      <c r="E40" s="114">
        <v>-6417</v>
      </c>
      <c r="F40" s="114">
        <v>-10470</v>
      </c>
      <c r="G40" s="114">
        <v>9043</v>
      </c>
      <c r="H40" s="114">
        <v>-9721</v>
      </c>
      <c r="I40" s="114">
        <v>-13354</v>
      </c>
      <c r="J40" s="114">
        <v>-4958</v>
      </c>
      <c r="K40" s="115">
        <v>-1769</v>
      </c>
    </row>
    <row r="41" spans="1:11" x14ac:dyDescent="0.2">
      <c r="A41" s="332" t="s">
        <v>26</v>
      </c>
      <c r="B41" s="7">
        <v>-655</v>
      </c>
      <c r="C41" s="7">
        <v>-473</v>
      </c>
      <c r="D41" s="7">
        <v>-51</v>
      </c>
      <c r="E41" s="7">
        <v>937</v>
      </c>
      <c r="F41" s="7">
        <v>-495</v>
      </c>
      <c r="G41" s="7">
        <v>-167</v>
      </c>
      <c r="H41" s="7">
        <v>-87</v>
      </c>
      <c r="I41" s="7">
        <v>-185</v>
      </c>
      <c r="J41" s="7">
        <v>-244</v>
      </c>
      <c r="K41" s="113">
        <v>9</v>
      </c>
    </row>
    <row r="42" spans="1:11" x14ac:dyDescent="0.2">
      <c r="A42" s="66" t="s">
        <v>27</v>
      </c>
      <c r="B42" s="7">
        <v>-2238</v>
      </c>
      <c r="C42" s="7">
        <v>-789</v>
      </c>
      <c r="D42" s="7">
        <v>381</v>
      </c>
      <c r="E42" s="7">
        <v>4162</v>
      </c>
      <c r="F42" s="7">
        <v>-628</v>
      </c>
      <c r="G42" s="7">
        <v>-3288</v>
      </c>
      <c r="H42" s="7">
        <v>5362</v>
      </c>
      <c r="I42" s="7">
        <v>-6717</v>
      </c>
      <c r="J42" s="7">
        <v>1031</v>
      </c>
      <c r="K42" s="113">
        <v>5099</v>
      </c>
    </row>
    <row r="43" spans="1:11" ht="15.75" thickBot="1" x14ac:dyDescent="0.25">
      <c r="A43" s="66" t="s">
        <v>28</v>
      </c>
      <c r="B43" s="7">
        <v>10714</v>
      </c>
      <c r="C43" s="7">
        <v>8476</v>
      </c>
      <c r="D43" s="7">
        <v>7687</v>
      </c>
      <c r="E43" s="7">
        <v>8068</v>
      </c>
      <c r="F43" s="7">
        <v>12230</v>
      </c>
      <c r="G43" s="7">
        <v>11602</v>
      </c>
      <c r="H43" s="7">
        <v>8314</v>
      </c>
      <c r="I43" s="7">
        <v>13676</v>
      </c>
      <c r="J43" s="7">
        <v>6959</v>
      </c>
      <c r="K43" s="113">
        <v>7990</v>
      </c>
    </row>
    <row r="44" spans="1:11" ht="15.75" thickBot="1" x14ac:dyDescent="0.25">
      <c r="A44" s="122" t="s">
        <v>29</v>
      </c>
      <c r="B44" s="114">
        <v>8476</v>
      </c>
      <c r="C44" s="114">
        <v>7687</v>
      </c>
      <c r="D44" s="114">
        <v>8068</v>
      </c>
      <c r="E44" s="114">
        <v>12230</v>
      </c>
      <c r="F44" s="114">
        <v>11602</v>
      </c>
      <c r="G44" s="114">
        <v>8314</v>
      </c>
      <c r="H44" s="114">
        <v>13676</v>
      </c>
      <c r="I44" s="114">
        <v>6959</v>
      </c>
      <c r="J44" s="114">
        <v>7990</v>
      </c>
      <c r="K44" s="115">
        <v>13089</v>
      </c>
    </row>
    <row r="45" spans="1:11" x14ac:dyDescent="0.2">
      <c r="A45" s="120" t="s">
        <v>30</v>
      </c>
      <c r="B45" s="7"/>
      <c r="C45" s="7"/>
      <c r="D45" s="7"/>
      <c r="E45" s="7"/>
      <c r="F45" s="7"/>
      <c r="G45" s="7"/>
      <c r="H45" s="7"/>
      <c r="I45" s="7"/>
      <c r="J45" s="7"/>
      <c r="K45" s="113"/>
    </row>
    <row r="46" spans="1:11" x14ac:dyDescent="0.2">
      <c r="A46" s="66" t="s">
        <v>31</v>
      </c>
      <c r="B46" s="7">
        <v>5748</v>
      </c>
      <c r="C46" s="7">
        <v>2657</v>
      </c>
      <c r="D46" s="7">
        <v>1078</v>
      </c>
      <c r="E46" s="7">
        <v>1597</v>
      </c>
      <c r="F46" s="7">
        <v>1745</v>
      </c>
      <c r="G46" s="7">
        <v>2091</v>
      </c>
      <c r="H46" s="7">
        <v>2253</v>
      </c>
      <c r="I46" s="7">
        <v>2103</v>
      </c>
      <c r="J46" s="7">
        <v>1865</v>
      </c>
      <c r="K46" s="113">
        <v>1564</v>
      </c>
    </row>
    <row r="47" spans="1:11" ht="15.75" thickBot="1" x14ac:dyDescent="0.25">
      <c r="A47" s="123" t="s">
        <v>32</v>
      </c>
      <c r="B47" s="117">
        <v>1061</v>
      </c>
      <c r="C47" s="117">
        <v>995</v>
      </c>
      <c r="D47" s="117">
        <v>1158</v>
      </c>
      <c r="E47" s="117">
        <v>1208</v>
      </c>
      <c r="F47" s="117">
        <v>1423</v>
      </c>
      <c r="G47" s="117">
        <v>1685</v>
      </c>
      <c r="H47" s="117">
        <v>1830</v>
      </c>
      <c r="I47" s="117">
        <v>1512</v>
      </c>
      <c r="J47" s="117">
        <v>1401</v>
      </c>
      <c r="K47" s="118">
        <v>1668</v>
      </c>
    </row>
    <row r="48" spans="1:11" x14ac:dyDescent="0.2">
      <c r="B48" s="7"/>
      <c r="C48" s="7"/>
      <c r="D48" s="7"/>
      <c r="E48" s="7"/>
    </row>
    <row r="49" spans="1:12" x14ac:dyDescent="0.2">
      <c r="B49" s="7"/>
      <c r="D49" s="7"/>
      <c r="E49" s="7"/>
      <c r="G49" s="119"/>
    </row>
    <row r="50" spans="1:12" x14ac:dyDescent="0.2">
      <c r="B50" s="7"/>
      <c r="C50" s="7"/>
      <c r="D50" s="7"/>
      <c r="E50" s="7"/>
      <c r="F50" s="7"/>
      <c r="G50" s="7"/>
      <c r="H50" s="7"/>
      <c r="I50" s="7"/>
      <c r="J50" s="7"/>
      <c r="K50" s="7"/>
    </row>
    <row r="51" spans="1:12" x14ac:dyDescent="0.2">
      <c r="B51" s="7"/>
      <c r="C51" s="7"/>
      <c r="D51" s="7"/>
      <c r="E51" s="7"/>
      <c r="F51" s="7"/>
      <c r="G51" s="7"/>
      <c r="H51" s="7"/>
      <c r="I51" s="7"/>
      <c r="J51" s="7"/>
      <c r="K51" s="7"/>
    </row>
    <row r="52" spans="1:12" x14ac:dyDescent="0.2">
      <c r="A52" s="3" t="s">
        <v>483</v>
      </c>
      <c r="B52" s="7">
        <f>B44-B43</f>
        <v>-2238</v>
      </c>
      <c r="C52" s="7">
        <f t="shared" ref="C52:K52" si="0">C44-C43</f>
        <v>-789</v>
      </c>
      <c r="D52" s="7">
        <f t="shared" si="0"/>
        <v>381</v>
      </c>
      <c r="E52" s="7">
        <f t="shared" si="0"/>
        <v>4162</v>
      </c>
      <c r="F52" s="7">
        <f t="shared" si="0"/>
        <v>-628</v>
      </c>
      <c r="G52" s="7">
        <f t="shared" si="0"/>
        <v>-3288</v>
      </c>
      <c r="H52" s="7">
        <f t="shared" si="0"/>
        <v>5362</v>
      </c>
      <c r="I52" s="7">
        <f t="shared" si="0"/>
        <v>-6717</v>
      </c>
      <c r="J52" s="7">
        <f t="shared" si="0"/>
        <v>1031</v>
      </c>
      <c r="K52" s="7">
        <f t="shared" si="0"/>
        <v>5099</v>
      </c>
      <c r="L52" s="7">
        <f>SUM(B52:K52)</f>
        <v>2375</v>
      </c>
    </row>
    <row r="54" spans="1:12" x14ac:dyDescent="0.2">
      <c r="D54" s="10"/>
      <c r="E54" s="10"/>
      <c r="F54" s="10"/>
      <c r="G54" s="10"/>
      <c r="H54" s="10"/>
      <c r="I54" s="10"/>
      <c r="J54" s="10"/>
      <c r="K54" s="10"/>
    </row>
    <row r="55" spans="1:12" x14ac:dyDescent="0.2">
      <c r="D55" s="10"/>
      <c r="E55" s="10"/>
      <c r="F55" s="10"/>
      <c r="G55" s="10"/>
      <c r="H55" s="10"/>
      <c r="I55" s="10"/>
      <c r="J55" s="10"/>
      <c r="K55" s="10"/>
    </row>
  </sheetData>
  <mergeCells count="1">
    <mergeCell ref="A1:K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Financials &gt;</vt:lpstr>
      <vt:lpstr>Historical Financial statements</vt:lpstr>
      <vt:lpstr>Trend Analysis</vt:lpstr>
      <vt:lpstr>Ratio Analysis</vt:lpstr>
      <vt:lpstr>Common Size Analysis</vt:lpstr>
      <vt:lpstr>Key Metrics Forecasting</vt:lpstr>
      <vt:lpstr>Financial Statement Forcasting</vt:lpstr>
      <vt:lpstr>DCF &gt;</vt:lpstr>
      <vt:lpstr>WACC</vt:lpstr>
      <vt:lpstr>Peer Comps Beta Calculations</vt:lpstr>
      <vt:lpstr>Rm</vt:lpstr>
      <vt:lpstr>Intrinsic Growth</vt:lpstr>
      <vt:lpstr>Valuation &amp;Sensitivity Analysis</vt:lpstr>
      <vt:lpstr>Charts &gt;</vt:lpstr>
      <vt:lpstr>Visualisations</vt:lpstr>
      <vt:lpstr>Charts on Ratio Analysis</vt:lpstr>
      <vt:lpstr>Data &gt;</vt:lpstr>
      <vt:lpstr>Income statement</vt:lpstr>
      <vt:lpstr>Comprehensive Income statement</vt:lpstr>
      <vt:lpstr>Balance sheet</vt:lpstr>
      <vt:lpstr>Cash flow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V</dc:creator>
  <cp:lastModifiedBy>Vivek</cp:lastModifiedBy>
  <dcterms:created xsi:type="dcterms:W3CDTF">2024-07-13T10:47:18Z</dcterms:created>
  <dcterms:modified xsi:type="dcterms:W3CDTF">2024-09-09T16:10:46Z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