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ebapp\cli_database\"/>
    </mc:Choice>
  </mc:AlternateContent>
  <xr:revisionPtr revIDLastSave="0" documentId="13_ncr:1_{928B6E06-08C5-486A-8C01-93A52C537E6D}" xr6:coauthVersionLast="47" xr6:coauthVersionMax="47" xr10:uidLastSave="{00000000-0000-0000-0000-000000000000}"/>
  <bookViews>
    <workbookView xWindow="-120" yWindow="-120" windowWidth="29040" windowHeight="17520" xr2:uid="{F7F80893-10C4-40FD-8B84-1A5EE7B59D39}"/>
  </bookViews>
  <sheets>
    <sheet name="Feuil1" sheetId="1" r:id="rId1"/>
  </sheets>
  <externalReferences>
    <externalReference r:id="rId2"/>
  </externalReferences>
  <definedNames>
    <definedName name="Taux_Horaire_Agent">[1]Paramétrage!$C$9</definedName>
    <definedName name="Taux_Horaire_Etude">[1]Paramétrage!$C$8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5" i="1" l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BA35" i="1"/>
  <c r="BA34" i="1"/>
  <c r="BA33" i="1"/>
  <c r="BA32" i="1"/>
  <c r="BA31" i="1"/>
  <c r="BA30" i="1"/>
  <c r="BB30" i="1" s="1"/>
  <c r="BA29" i="1"/>
  <c r="BA28" i="1"/>
  <c r="BA27" i="1"/>
  <c r="BA26" i="1"/>
  <c r="BA25" i="1"/>
  <c r="BA24" i="1"/>
  <c r="BA23" i="1"/>
  <c r="BA22" i="1"/>
  <c r="BB22" i="1" s="1"/>
  <c r="BA21" i="1"/>
  <c r="BA19" i="1"/>
  <c r="BA18" i="1"/>
  <c r="BA17" i="1"/>
  <c r="BA16" i="1"/>
  <c r="BA15" i="1"/>
  <c r="BA14" i="1"/>
  <c r="BA13" i="1"/>
  <c r="BB13" i="1" s="1"/>
  <c r="BA12" i="1"/>
  <c r="BB12" i="1" s="1"/>
  <c r="BA11" i="1"/>
  <c r="BA10" i="1"/>
  <c r="BA9" i="1"/>
  <c r="BA8" i="1"/>
  <c r="BA7" i="1"/>
  <c r="BA6" i="1"/>
  <c r="BA5" i="1"/>
  <c r="BB5" i="1" s="1"/>
  <c r="BA4" i="1"/>
  <c r="BB4" i="1" s="1"/>
  <c r="BA3" i="1"/>
  <c r="BA2" i="1"/>
  <c r="BA20" i="1"/>
  <c r="BB20" i="1" s="1"/>
  <c r="BB8" i="1"/>
  <c r="BB6" i="1"/>
  <c r="BB35" i="1"/>
  <c r="BB16" i="1"/>
  <c r="BB24" i="1"/>
  <c r="BB26" i="1"/>
  <c r="BB29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EJ35" i="1"/>
  <c r="EI35" i="1"/>
  <c r="CX35" i="1"/>
  <c r="CU35" i="1"/>
  <c r="BH35" i="1"/>
  <c r="BJ35" i="1" s="1"/>
  <c r="BF35" i="1"/>
  <c r="AF35" i="1"/>
  <c r="AE35" i="1"/>
  <c r="AD35" i="1"/>
  <c r="Y35" i="1"/>
  <c r="X35" i="1"/>
  <c r="V35" i="1" a="1"/>
  <c r="V35" i="1" s="1"/>
  <c r="W35" i="1" s="1"/>
  <c r="Z35" i="1" s="1"/>
  <c r="O35" i="1"/>
  <c r="EL35" i="1" s="1"/>
  <c r="L35" i="1"/>
  <c r="EJ34" i="1"/>
  <c r="EI34" i="1"/>
  <c r="CX34" i="1"/>
  <c r="CU34" i="1"/>
  <c r="BJ34" i="1"/>
  <c r="BH34" i="1"/>
  <c r="BF34" i="1"/>
  <c r="AF34" i="1"/>
  <c r="AE34" i="1"/>
  <c r="AD34" i="1"/>
  <c r="Y34" i="1"/>
  <c r="X34" i="1"/>
  <c r="V34" i="1" a="1"/>
  <c r="V34" i="1" s="1"/>
  <c r="W34" i="1" s="1"/>
  <c r="O34" i="1"/>
  <c r="EL34" i="1" s="1"/>
  <c r="L34" i="1"/>
  <c r="EJ33" i="1"/>
  <c r="EI33" i="1"/>
  <c r="CX33" i="1"/>
  <c r="CU33" i="1"/>
  <c r="BJ33" i="1"/>
  <c r="BH33" i="1"/>
  <c r="BF33" i="1"/>
  <c r="AF33" i="1"/>
  <c r="AE33" i="1"/>
  <c r="AD33" i="1"/>
  <c r="Y33" i="1"/>
  <c r="X33" i="1"/>
  <c r="V33" i="1" a="1"/>
  <c r="V33" i="1" s="1"/>
  <c r="W33" i="1" s="1"/>
  <c r="O33" i="1"/>
  <c r="L33" i="1"/>
  <c r="EJ32" i="1"/>
  <c r="EI32" i="1"/>
  <c r="CX32" i="1"/>
  <c r="CU32" i="1"/>
  <c r="BJ32" i="1"/>
  <c r="BH32" i="1"/>
  <c r="BF32" i="1"/>
  <c r="AF32" i="1"/>
  <c r="AE32" i="1"/>
  <c r="AD32" i="1"/>
  <c r="AG32" i="1" s="1"/>
  <c r="AI32" i="1" s="1"/>
  <c r="AJ32" i="1" s="1"/>
  <c r="Y32" i="1"/>
  <c r="X32" i="1"/>
  <c r="V32" i="1" a="1"/>
  <c r="V32" i="1" s="1"/>
  <c r="W32" i="1" s="1"/>
  <c r="O32" i="1"/>
  <c r="L32" i="1"/>
  <c r="EJ31" i="1"/>
  <c r="EI31" i="1"/>
  <c r="CX31" i="1"/>
  <c r="CU31" i="1"/>
  <c r="BJ31" i="1"/>
  <c r="BH31" i="1"/>
  <c r="BF31" i="1"/>
  <c r="BB31" i="1"/>
  <c r="AF31" i="1"/>
  <c r="AE31" i="1"/>
  <c r="AD31" i="1"/>
  <c r="Y31" i="1"/>
  <c r="X31" i="1"/>
  <c r="V31" i="1" a="1"/>
  <c r="V31" i="1" s="1"/>
  <c r="W31" i="1" s="1"/>
  <c r="O31" i="1"/>
  <c r="L31" i="1"/>
  <c r="EJ30" i="1"/>
  <c r="EI30" i="1"/>
  <c r="CX30" i="1"/>
  <c r="CU30" i="1"/>
  <c r="BJ30" i="1"/>
  <c r="BH30" i="1"/>
  <c r="BF30" i="1"/>
  <c r="AF30" i="1"/>
  <c r="AE30" i="1"/>
  <c r="AD30" i="1"/>
  <c r="Y30" i="1"/>
  <c r="X30" i="1"/>
  <c r="V30" i="1" a="1"/>
  <c r="V30" i="1" s="1"/>
  <c r="W30" i="1" s="1"/>
  <c r="O30" i="1"/>
  <c r="L30" i="1"/>
  <c r="EJ29" i="1"/>
  <c r="EI29" i="1"/>
  <c r="CX29" i="1"/>
  <c r="CU29" i="1"/>
  <c r="BJ29" i="1"/>
  <c r="BH29" i="1"/>
  <c r="BF29" i="1"/>
  <c r="AF29" i="1"/>
  <c r="AE29" i="1"/>
  <c r="AD29" i="1"/>
  <c r="Y29" i="1"/>
  <c r="X29" i="1"/>
  <c r="V29" i="1" a="1"/>
  <c r="V29" i="1" s="1"/>
  <c r="W29" i="1" s="1"/>
  <c r="O29" i="1"/>
  <c r="EL29" i="1" s="1"/>
  <c r="L29" i="1"/>
  <c r="EJ28" i="1"/>
  <c r="EI28" i="1"/>
  <c r="CX28" i="1"/>
  <c r="CU28" i="1"/>
  <c r="BJ28" i="1"/>
  <c r="BH28" i="1"/>
  <c r="BF28" i="1"/>
  <c r="BB28" i="1"/>
  <c r="AF28" i="1"/>
  <c r="AE28" i="1"/>
  <c r="AD28" i="1"/>
  <c r="Y28" i="1"/>
  <c r="X28" i="1"/>
  <c r="V28" i="1" a="1"/>
  <c r="V28" i="1" s="1"/>
  <c r="W28" i="1" s="1"/>
  <c r="O28" i="1"/>
  <c r="R28" i="1" s="1"/>
  <c r="L28" i="1"/>
  <c r="EJ27" i="1"/>
  <c r="EI27" i="1"/>
  <c r="CX27" i="1"/>
  <c r="CU27" i="1"/>
  <c r="BJ27" i="1"/>
  <c r="BH27" i="1"/>
  <c r="BF27" i="1"/>
  <c r="BB27" i="1"/>
  <c r="AF27" i="1"/>
  <c r="AE27" i="1"/>
  <c r="AD27" i="1"/>
  <c r="Y27" i="1"/>
  <c r="X27" i="1"/>
  <c r="V27" i="1" a="1"/>
  <c r="V27" i="1" s="1"/>
  <c r="W27" i="1" s="1"/>
  <c r="O27" i="1"/>
  <c r="EL27" i="1" s="1"/>
  <c r="L27" i="1"/>
  <c r="EJ26" i="1"/>
  <c r="EI26" i="1"/>
  <c r="CX26" i="1"/>
  <c r="CU26" i="1"/>
  <c r="BJ26" i="1"/>
  <c r="BH26" i="1"/>
  <c r="BF26" i="1"/>
  <c r="AF26" i="1"/>
  <c r="AE26" i="1"/>
  <c r="AD26" i="1"/>
  <c r="Y26" i="1"/>
  <c r="X26" i="1"/>
  <c r="V26" i="1" a="1"/>
  <c r="V26" i="1" s="1"/>
  <c r="W26" i="1" s="1"/>
  <c r="O26" i="1"/>
  <c r="EL26" i="1" s="1"/>
  <c r="L26" i="1"/>
  <c r="EJ25" i="1"/>
  <c r="EI25" i="1"/>
  <c r="CX25" i="1"/>
  <c r="CU25" i="1"/>
  <c r="BJ25" i="1"/>
  <c r="BH25" i="1"/>
  <c r="BF25" i="1"/>
  <c r="AF25" i="1"/>
  <c r="AE25" i="1"/>
  <c r="AD25" i="1"/>
  <c r="Y25" i="1"/>
  <c r="X25" i="1"/>
  <c r="V25" i="1" a="1"/>
  <c r="V25" i="1" s="1"/>
  <c r="W25" i="1" s="1"/>
  <c r="O25" i="1"/>
  <c r="L25" i="1"/>
  <c r="EJ24" i="1"/>
  <c r="EI24" i="1"/>
  <c r="CX24" i="1"/>
  <c r="CU24" i="1"/>
  <c r="BJ24" i="1"/>
  <c r="BH24" i="1"/>
  <c r="BF24" i="1"/>
  <c r="AF24" i="1"/>
  <c r="AE24" i="1"/>
  <c r="AD24" i="1"/>
  <c r="Y24" i="1"/>
  <c r="X24" i="1"/>
  <c r="V24" i="1" a="1"/>
  <c r="V24" i="1" s="1"/>
  <c r="W24" i="1" s="1"/>
  <c r="O24" i="1"/>
  <c r="L24" i="1"/>
  <c r="EJ23" i="1"/>
  <c r="EI23" i="1"/>
  <c r="CX23" i="1"/>
  <c r="CU23" i="1"/>
  <c r="BJ23" i="1"/>
  <c r="BH23" i="1"/>
  <c r="BF23" i="1"/>
  <c r="BB23" i="1"/>
  <c r="AF23" i="1"/>
  <c r="AE23" i="1"/>
  <c r="AD23" i="1"/>
  <c r="Y23" i="1"/>
  <c r="X23" i="1"/>
  <c r="V23" i="1" a="1"/>
  <c r="V23" i="1" s="1"/>
  <c r="W23" i="1" s="1"/>
  <c r="O23" i="1"/>
  <c r="EL23" i="1" s="1"/>
  <c r="L23" i="1"/>
  <c r="EJ22" i="1"/>
  <c r="EI22" i="1"/>
  <c r="CX22" i="1"/>
  <c r="CU22" i="1"/>
  <c r="BJ22" i="1"/>
  <c r="BH22" i="1"/>
  <c r="BF22" i="1"/>
  <c r="AF22" i="1"/>
  <c r="AE22" i="1"/>
  <c r="AD22" i="1"/>
  <c r="Y22" i="1"/>
  <c r="X22" i="1"/>
  <c r="V22" i="1" a="1"/>
  <c r="V22" i="1" s="1"/>
  <c r="W22" i="1" s="1"/>
  <c r="O22" i="1"/>
  <c r="L22" i="1"/>
  <c r="EJ21" i="1"/>
  <c r="EI21" i="1"/>
  <c r="CX21" i="1"/>
  <c r="CU21" i="1"/>
  <c r="BJ21" i="1"/>
  <c r="BH21" i="1"/>
  <c r="BF21" i="1"/>
  <c r="BB21" i="1"/>
  <c r="AF21" i="1"/>
  <c r="AE21" i="1"/>
  <c r="AD21" i="1"/>
  <c r="Y21" i="1"/>
  <c r="X21" i="1"/>
  <c r="V21" i="1" a="1"/>
  <c r="V21" i="1" s="1"/>
  <c r="W21" i="1" s="1"/>
  <c r="O21" i="1"/>
  <c r="R21" i="1" s="1"/>
  <c r="L21" i="1"/>
  <c r="EJ20" i="1"/>
  <c r="EI20" i="1"/>
  <c r="CX20" i="1"/>
  <c r="CU20" i="1"/>
  <c r="BJ20" i="1"/>
  <c r="BH20" i="1"/>
  <c r="BF20" i="1"/>
  <c r="AF20" i="1"/>
  <c r="AE20" i="1"/>
  <c r="AD20" i="1"/>
  <c r="Y20" i="1"/>
  <c r="X20" i="1"/>
  <c r="V20" i="1" a="1"/>
  <c r="V20" i="1" s="1"/>
  <c r="W20" i="1" s="1"/>
  <c r="O20" i="1"/>
  <c r="L20" i="1"/>
  <c r="EJ19" i="1"/>
  <c r="EI19" i="1"/>
  <c r="CX19" i="1"/>
  <c r="CU19" i="1"/>
  <c r="BJ19" i="1"/>
  <c r="BH19" i="1"/>
  <c r="BF19" i="1"/>
  <c r="BB19" i="1"/>
  <c r="AF19" i="1"/>
  <c r="AE19" i="1"/>
  <c r="AD19" i="1"/>
  <c r="Y19" i="1"/>
  <c r="X19" i="1"/>
  <c r="V19" i="1" a="1"/>
  <c r="V19" i="1" s="1"/>
  <c r="W19" i="1" s="1"/>
  <c r="O19" i="1"/>
  <c r="L19" i="1"/>
  <c r="EJ18" i="1"/>
  <c r="EI18" i="1"/>
  <c r="CX18" i="1"/>
  <c r="CU18" i="1"/>
  <c r="BJ18" i="1"/>
  <c r="BH18" i="1"/>
  <c r="BF18" i="1"/>
  <c r="BB18" i="1"/>
  <c r="AF18" i="1"/>
  <c r="AE18" i="1"/>
  <c r="AD18" i="1"/>
  <c r="Y18" i="1"/>
  <c r="X18" i="1"/>
  <c r="V18" i="1" a="1"/>
  <c r="V18" i="1" s="1"/>
  <c r="W18" i="1" s="1"/>
  <c r="O18" i="1"/>
  <c r="R18" i="1" s="1"/>
  <c r="L18" i="1"/>
  <c r="EJ17" i="1"/>
  <c r="EI17" i="1"/>
  <c r="CX17" i="1"/>
  <c r="CU17" i="1"/>
  <c r="BJ17" i="1"/>
  <c r="BH17" i="1"/>
  <c r="BF17" i="1"/>
  <c r="AF17" i="1"/>
  <c r="AE17" i="1"/>
  <c r="AD17" i="1"/>
  <c r="Y17" i="1"/>
  <c r="X17" i="1"/>
  <c r="V17" i="1" a="1"/>
  <c r="V17" i="1" s="1"/>
  <c r="W17" i="1" s="1"/>
  <c r="O17" i="1"/>
  <c r="EL17" i="1" s="1"/>
  <c r="L17" i="1"/>
  <c r="EJ16" i="1"/>
  <c r="EI16" i="1"/>
  <c r="CX16" i="1"/>
  <c r="CU16" i="1"/>
  <c r="BJ16" i="1"/>
  <c r="BH16" i="1"/>
  <c r="BF16" i="1"/>
  <c r="BE16" i="1"/>
  <c r="AV16" i="1"/>
  <c r="AQ16" i="1"/>
  <c r="AF16" i="1"/>
  <c r="AE16" i="1"/>
  <c r="AD16" i="1"/>
  <c r="Y16" i="1"/>
  <c r="X16" i="1"/>
  <c r="V16" i="1" a="1"/>
  <c r="V16" i="1" s="1"/>
  <c r="W16" i="1" s="1"/>
  <c r="O16" i="1"/>
  <c r="L16" i="1"/>
  <c r="EJ15" i="1"/>
  <c r="EI15" i="1"/>
  <c r="CX15" i="1"/>
  <c r="CU15" i="1"/>
  <c r="BJ15" i="1"/>
  <c r="BH15" i="1"/>
  <c r="BF15" i="1"/>
  <c r="BE15" i="1"/>
  <c r="BB15" i="1"/>
  <c r="AV15" i="1"/>
  <c r="AQ15" i="1"/>
  <c r="AF15" i="1"/>
  <c r="AE15" i="1"/>
  <c r="AD15" i="1"/>
  <c r="Y15" i="1"/>
  <c r="X15" i="1"/>
  <c r="V15" i="1" a="1"/>
  <c r="V15" i="1" s="1"/>
  <c r="W15" i="1" s="1"/>
  <c r="O15" i="1"/>
  <c r="L15" i="1"/>
  <c r="EJ14" i="1"/>
  <c r="EI14" i="1"/>
  <c r="CX14" i="1"/>
  <c r="CU14" i="1"/>
  <c r="BJ14" i="1"/>
  <c r="BH14" i="1"/>
  <c r="BF14" i="1"/>
  <c r="BE14" i="1"/>
  <c r="BB14" i="1"/>
  <c r="AV14" i="1"/>
  <c r="AQ14" i="1"/>
  <c r="AF14" i="1"/>
  <c r="AE14" i="1"/>
  <c r="AD14" i="1"/>
  <c r="Y14" i="1"/>
  <c r="X14" i="1"/>
  <c r="V14" i="1" a="1"/>
  <c r="V14" i="1" s="1"/>
  <c r="W14" i="1" s="1"/>
  <c r="O14" i="1"/>
  <c r="L14" i="1"/>
  <c r="EJ13" i="1"/>
  <c r="EI13" i="1"/>
  <c r="CX13" i="1"/>
  <c r="CU13" i="1"/>
  <c r="BJ13" i="1"/>
  <c r="BH13" i="1"/>
  <c r="BF13" i="1"/>
  <c r="BE13" i="1"/>
  <c r="AV13" i="1"/>
  <c r="AQ13" i="1"/>
  <c r="AF13" i="1"/>
  <c r="AE13" i="1"/>
  <c r="AD13" i="1"/>
  <c r="Y13" i="1"/>
  <c r="X13" i="1"/>
  <c r="V13" i="1" a="1"/>
  <c r="V13" i="1" s="1"/>
  <c r="W13" i="1" s="1"/>
  <c r="O13" i="1"/>
  <c r="EL13" i="1" s="1"/>
  <c r="L13" i="1"/>
  <c r="EJ12" i="1"/>
  <c r="EI12" i="1"/>
  <c r="CX12" i="1"/>
  <c r="CU12" i="1"/>
  <c r="BJ12" i="1"/>
  <c r="BH12" i="1"/>
  <c r="BF12" i="1"/>
  <c r="BE12" i="1"/>
  <c r="AV12" i="1"/>
  <c r="AQ12" i="1"/>
  <c r="AF12" i="1"/>
  <c r="AE12" i="1"/>
  <c r="AD12" i="1"/>
  <c r="Y12" i="1"/>
  <c r="X12" i="1"/>
  <c r="V12" i="1" a="1"/>
  <c r="V12" i="1" s="1"/>
  <c r="W12" i="1" s="1"/>
  <c r="Z12" i="1" s="1"/>
  <c r="O12" i="1"/>
  <c r="EL12" i="1" s="1"/>
  <c r="L12" i="1"/>
  <c r="EJ11" i="1"/>
  <c r="EI11" i="1"/>
  <c r="CX11" i="1"/>
  <c r="CU11" i="1"/>
  <c r="BJ11" i="1"/>
  <c r="BH11" i="1"/>
  <c r="BF11" i="1"/>
  <c r="BE11" i="1"/>
  <c r="BB11" i="1"/>
  <c r="AV11" i="1"/>
  <c r="AQ11" i="1"/>
  <c r="AF11" i="1"/>
  <c r="AE11" i="1"/>
  <c r="AD11" i="1"/>
  <c r="Y11" i="1"/>
  <c r="X11" i="1"/>
  <c r="V11" i="1" a="1"/>
  <c r="V11" i="1" s="1"/>
  <c r="W11" i="1" s="1"/>
  <c r="Z11" i="1" s="1"/>
  <c r="O11" i="1"/>
  <c r="L11" i="1"/>
  <c r="EJ10" i="1"/>
  <c r="EI10" i="1"/>
  <c r="CX10" i="1"/>
  <c r="CU10" i="1"/>
  <c r="BJ10" i="1"/>
  <c r="BH10" i="1"/>
  <c r="BF10" i="1"/>
  <c r="BE10" i="1"/>
  <c r="BB10" i="1"/>
  <c r="AV10" i="1"/>
  <c r="AQ10" i="1"/>
  <c r="AF10" i="1"/>
  <c r="AE10" i="1"/>
  <c r="AD10" i="1"/>
  <c r="Y10" i="1"/>
  <c r="X10" i="1"/>
  <c r="V10" i="1" a="1"/>
  <c r="V10" i="1" s="1"/>
  <c r="W10" i="1" s="1"/>
  <c r="O10" i="1"/>
  <c r="L10" i="1"/>
  <c r="EJ9" i="1"/>
  <c r="EI9" i="1"/>
  <c r="CX9" i="1"/>
  <c r="CU9" i="1"/>
  <c r="BJ9" i="1"/>
  <c r="BH9" i="1"/>
  <c r="BF9" i="1"/>
  <c r="BE9" i="1"/>
  <c r="AV9" i="1"/>
  <c r="AQ9" i="1"/>
  <c r="AF9" i="1"/>
  <c r="AE9" i="1"/>
  <c r="AD9" i="1"/>
  <c r="Y9" i="1"/>
  <c r="X9" i="1"/>
  <c r="V9" i="1" a="1"/>
  <c r="V9" i="1" s="1"/>
  <c r="W9" i="1" s="1"/>
  <c r="O9" i="1"/>
  <c r="L9" i="1"/>
  <c r="EJ8" i="1"/>
  <c r="EI8" i="1"/>
  <c r="CX8" i="1"/>
  <c r="CU8" i="1"/>
  <c r="BJ8" i="1"/>
  <c r="BH8" i="1"/>
  <c r="BF8" i="1"/>
  <c r="BE8" i="1"/>
  <c r="AV8" i="1"/>
  <c r="AQ8" i="1"/>
  <c r="AF8" i="1"/>
  <c r="AE8" i="1"/>
  <c r="AD8" i="1"/>
  <c r="Y8" i="1"/>
  <c r="X8" i="1"/>
  <c r="V8" i="1" a="1"/>
  <c r="V8" i="1" s="1"/>
  <c r="W8" i="1" s="1"/>
  <c r="Z8" i="1" s="1"/>
  <c r="AS8" i="1" s="1"/>
  <c r="O8" i="1"/>
  <c r="EL8" i="1" s="1"/>
  <c r="L8" i="1"/>
  <c r="EJ7" i="1"/>
  <c r="EI7" i="1"/>
  <c r="CX7" i="1"/>
  <c r="CU7" i="1"/>
  <c r="BJ7" i="1"/>
  <c r="BH7" i="1"/>
  <c r="BF7" i="1"/>
  <c r="BE7" i="1"/>
  <c r="BB7" i="1"/>
  <c r="AV7" i="1"/>
  <c r="AQ7" i="1"/>
  <c r="AF7" i="1"/>
  <c r="AE7" i="1"/>
  <c r="AD7" i="1"/>
  <c r="Y7" i="1"/>
  <c r="X7" i="1"/>
  <c r="V7" i="1" a="1"/>
  <c r="V7" i="1" s="1"/>
  <c r="W7" i="1" s="1"/>
  <c r="Z7" i="1" s="1"/>
  <c r="O7" i="1"/>
  <c r="EL7" i="1" s="1"/>
  <c r="L7" i="1"/>
  <c r="EJ6" i="1"/>
  <c r="EI6" i="1"/>
  <c r="CX6" i="1"/>
  <c r="CU6" i="1"/>
  <c r="BJ6" i="1"/>
  <c r="BH6" i="1"/>
  <c r="BF6" i="1"/>
  <c r="BE6" i="1"/>
  <c r="AV6" i="1"/>
  <c r="AQ6" i="1"/>
  <c r="AF6" i="1"/>
  <c r="AE6" i="1"/>
  <c r="AD6" i="1"/>
  <c r="Y6" i="1"/>
  <c r="X6" i="1"/>
  <c r="V6" i="1" a="1"/>
  <c r="V6" i="1" s="1"/>
  <c r="W6" i="1" s="1"/>
  <c r="Z6" i="1" s="1"/>
  <c r="O6" i="1"/>
  <c r="L6" i="1"/>
  <c r="EJ5" i="1"/>
  <c r="EI5" i="1"/>
  <c r="CX5" i="1"/>
  <c r="CU5" i="1"/>
  <c r="BJ5" i="1"/>
  <c r="BH5" i="1"/>
  <c r="BF5" i="1"/>
  <c r="BE5" i="1"/>
  <c r="AV5" i="1"/>
  <c r="AQ5" i="1"/>
  <c r="AF5" i="1"/>
  <c r="AE5" i="1"/>
  <c r="AD5" i="1"/>
  <c r="Y5" i="1"/>
  <c r="X5" i="1"/>
  <c r="V5" i="1" a="1"/>
  <c r="V5" i="1" s="1"/>
  <c r="W5" i="1" s="1"/>
  <c r="Z5" i="1" s="1"/>
  <c r="O5" i="1"/>
  <c r="R5" i="1" s="1"/>
  <c r="L5" i="1"/>
  <c r="EJ4" i="1"/>
  <c r="EI4" i="1"/>
  <c r="CX4" i="1"/>
  <c r="CU4" i="1"/>
  <c r="BJ4" i="1"/>
  <c r="BH4" i="1"/>
  <c r="BF4" i="1"/>
  <c r="BE4" i="1"/>
  <c r="AV4" i="1"/>
  <c r="AQ4" i="1"/>
  <c r="AF4" i="1"/>
  <c r="AE4" i="1"/>
  <c r="AD4" i="1"/>
  <c r="Y4" i="1"/>
  <c r="X4" i="1"/>
  <c r="V4" i="1" a="1"/>
  <c r="V4" i="1" s="1"/>
  <c r="W4" i="1" s="1"/>
  <c r="O4" i="1"/>
  <c r="EL4" i="1" s="1"/>
  <c r="L4" i="1"/>
  <c r="EJ3" i="1"/>
  <c r="EI3" i="1"/>
  <c r="CX3" i="1"/>
  <c r="CU3" i="1"/>
  <c r="BJ3" i="1"/>
  <c r="BH3" i="1"/>
  <c r="BF3" i="1"/>
  <c r="BE3" i="1"/>
  <c r="BB3" i="1"/>
  <c r="AV3" i="1"/>
  <c r="AQ3" i="1"/>
  <c r="AF3" i="1"/>
  <c r="AE3" i="1"/>
  <c r="AD3" i="1"/>
  <c r="Y3" i="1"/>
  <c r="X3" i="1"/>
  <c r="V3" i="1" a="1"/>
  <c r="V3" i="1" s="1"/>
  <c r="W3" i="1" s="1"/>
  <c r="O3" i="1"/>
  <c r="EL3" i="1" s="1"/>
  <c r="L3" i="1"/>
  <c r="EJ2" i="1"/>
  <c r="EI2" i="1"/>
  <c r="CX2" i="1"/>
  <c r="CU2" i="1"/>
  <c r="BJ2" i="1"/>
  <c r="BH2" i="1"/>
  <c r="BF2" i="1"/>
  <c r="BE2" i="1"/>
  <c r="BB2" i="1"/>
  <c r="AV2" i="1"/>
  <c r="AQ2" i="1"/>
  <c r="AF2" i="1"/>
  <c r="AE2" i="1"/>
  <c r="AD2" i="1"/>
  <c r="Y2" i="1"/>
  <c r="X2" i="1"/>
  <c r="V2" i="1" a="1"/>
  <c r="V2" i="1" s="1"/>
  <c r="W2" i="1" s="1"/>
  <c r="Z2" i="1" s="1"/>
  <c r="O2" i="1"/>
  <c r="L2" i="1"/>
  <c r="BB32" i="1" l="1"/>
  <c r="BB33" i="1"/>
  <c r="BB25" i="1"/>
  <c r="BB17" i="1"/>
  <c r="BB9" i="1"/>
  <c r="BB34" i="1"/>
  <c r="AG5" i="1"/>
  <c r="AI5" i="1" s="1"/>
  <c r="AJ5" i="1" s="1"/>
  <c r="AG9" i="1"/>
  <c r="AI9" i="1" s="1"/>
  <c r="AJ9" i="1" s="1"/>
  <c r="AG13" i="1"/>
  <c r="AI13" i="1" s="1"/>
  <c r="AJ13" i="1" s="1"/>
  <c r="AG35" i="1"/>
  <c r="AI35" i="1" s="1"/>
  <c r="AJ35" i="1" s="1"/>
  <c r="Z15" i="1"/>
  <c r="AS15" i="1" s="1"/>
  <c r="R26" i="1"/>
  <c r="AG31" i="1"/>
  <c r="AI31" i="1" s="1"/>
  <c r="AJ31" i="1" s="1"/>
  <c r="Z28" i="1"/>
  <c r="AS28" i="1" s="1"/>
  <c r="AG2" i="1"/>
  <c r="AI2" i="1" s="1"/>
  <c r="AJ2" i="1" s="1"/>
  <c r="AG26" i="1"/>
  <c r="AI26" i="1" s="1"/>
  <c r="AJ26" i="1" s="1"/>
  <c r="Z17" i="1"/>
  <c r="AG20" i="1"/>
  <c r="AI20" i="1" s="1"/>
  <c r="AJ20" i="1" s="1"/>
  <c r="R17" i="1"/>
  <c r="AG22" i="1"/>
  <c r="AI22" i="1" s="1"/>
  <c r="AJ22" i="1" s="1"/>
  <c r="Z4" i="1"/>
  <c r="AS4" i="1" s="1"/>
  <c r="AG27" i="1"/>
  <c r="AI27" i="1" s="1"/>
  <c r="AJ27" i="1" s="1"/>
  <c r="R29" i="1"/>
  <c r="AG3" i="1"/>
  <c r="AI3" i="1" s="1"/>
  <c r="AJ3" i="1" s="1"/>
  <c r="R4" i="1"/>
  <c r="AG10" i="1"/>
  <c r="AI10" i="1" s="1"/>
  <c r="AJ10" i="1" s="1"/>
  <c r="Z25" i="1"/>
  <c r="AG7" i="1"/>
  <c r="AI7" i="1" s="1"/>
  <c r="AJ7" i="1" s="1"/>
  <c r="AG15" i="1"/>
  <c r="AI15" i="1" s="1"/>
  <c r="AJ15" i="1" s="1"/>
  <c r="Z16" i="1"/>
  <c r="AG4" i="1"/>
  <c r="AI4" i="1" s="1"/>
  <c r="AJ4" i="1" s="1"/>
  <c r="AG23" i="1"/>
  <c r="AI23" i="1" s="1"/>
  <c r="AJ23" i="1" s="1"/>
  <c r="AG28" i="1"/>
  <c r="AI28" i="1" s="1"/>
  <c r="AJ28" i="1" s="1"/>
  <c r="Z20" i="1"/>
  <c r="AS20" i="1" s="1"/>
  <c r="AG6" i="1"/>
  <c r="AI6" i="1" s="1"/>
  <c r="AJ6" i="1" s="1"/>
  <c r="AG16" i="1"/>
  <c r="AI16" i="1" s="1"/>
  <c r="AJ16" i="1" s="1"/>
  <c r="AG25" i="1"/>
  <c r="AI25" i="1" s="1"/>
  <c r="AJ25" i="1" s="1"/>
  <c r="AG29" i="1"/>
  <c r="AI29" i="1" s="1"/>
  <c r="AJ29" i="1" s="1"/>
  <c r="Z32" i="1"/>
  <c r="AU32" i="1" s="1"/>
  <c r="R7" i="1"/>
  <c r="AG19" i="1"/>
  <c r="AI19" i="1" s="1"/>
  <c r="AJ19" i="1" s="1"/>
  <c r="R3" i="1"/>
  <c r="Z14" i="1"/>
  <c r="AS14" i="1" s="1"/>
  <c r="AG18" i="1"/>
  <c r="AI18" i="1" s="1"/>
  <c r="AJ18" i="1" s="1"/>
  <c r="AG34" i="1"/>
  <c r="AI34" i="1" s="1"/>
  <c r="AJ34" i="1" s="1"/>
  <c r="Z19" i="1"/>
  <c r="AS19" i="1" s="1"/>
  <c r="AG21" i="1"/>
  <c r="AI21" i="1" s="1"/>
  <c r="AJ21" i="1" s="1"/>
  <c r="AG24" i="1"/>
  <c r="AI24" i="1" s="1"/>
  <c r="AJ24" i="1" s="1"/>
  <c r="Z33" i="1"/>
  <c r="Z18" i="1"/>
  <c r="AS18" i="1" s="1"/>
  <c r="EL21" i="1"/>
  <c r="Z27" i="1"/>
  <c r="AS27" i="1" s="1"/>
  <c r="AG14" i="1"/>
  <c r="AI14" i="1" s="1"/>
  <c r="AJ14" i="1" s="1"/>
  <c r="Z10" i="1"/>
  <c r="AG11" i="1"/>
  <c r="AI11" i="1" s="1"/>
  <c r="AJ11" i="1" s="1"/>
  <c r="Z24" i="1"/>
  <c r="AG33" i="1"/>
  <c r="AI33" i="1" s="1"/>
  <c r="AJ33" i="1" s="1"/>
  <c r="Z34" i="1"/>
  <c r="AS34" i="1" s="1"/>
  <c r="AS6" i="1"/>
  <c r="EL2" i="1"/>
  <c r="R2" i="1"/>
  <c r="AS2" i="1"/>
  <c r="AS5" i="1"/>
  <c r="Z3" i="1"/>
  <c r="AS7" i="1"/>
  <c r="AS12" i="1"/>
  <c r="EL5" i="1"/>
  <c r="AG8" i="1"/>
  <c r="AI8" i="1" s="1"/>
  <c r="AJ8" i="1" s="1"/>
  <c r="AS11" i="1"/>
  <c r="EL6" i="1"/>
  <c r="R6" i="1"/>
  <c r="EL10" i="1"/>
  <c r="R10" i="1"/>
  <c r="AS17" i="1"/>
  <c r="R8" i="1"/>
  <c r="EL9" i="1"/>
  <c r="R9" i="1"/>
  <c r="Z9" i="1"/>
  <c r="Z13" i="1"/>
  <c r="AG12" i="1"/>
  <c r="AI12" i="1" s="1"/>
  <c r="AJ12" i="1" s="1"/>
  <c r="EL14" i="1"/>
  <c r="R14" i="1"/>
  <c r="EL11" i="1"/>
  <c r="R11" i="1"/>
  <c r="R12" i="1"/>
  <c r="R13" i="1"/>
  <c r="EL16" i="1"/>
  <c r="R16" i="1"/>
  <c r="EL19" i="1"/>
  <c r="R19" i="1"/>
  <c r="EL15" i="1"/>
  <c r="R15" i="1"/>
  <c r="AG17" i="1"/>
  <c r="AI17" i="1" s="1"/>
  <c r="AJ17" i="1" s="1"/>
  <c r="EL20" i="1"/>
  <c r="R20" i="1"/>
  <c r="Z21" i="1"/>
  <c r="EL22" i="1"/>
  <c r="R22" i="1"/>
  <c r="Z22" i="1"/>
  <c r="EL24" i="1"/>
  <c r="R24" i="1"/>
  <c r="Z23" i="1"/>
  <c r="EL18" i="1"/>
  <c r="AG30" i="1"/>
  <c r="AI30" i="1" s="1"/>
  <c r="AJ30" i="1" s="1"/>
  <c r="EL25" i="1"/>
  <c r="R25" i="1"/>
  <c r="Z26" i="1"/>
  <c r="Z29" i="1"/>
  <c r="EL30" i="1"/>
  <c r="R30" i="1"/>
  <c r="AS25" i="1"/>
  <c r="R23" i="1"/>
  <c r="EL28" i="1"/>
  <c r="Z31" i="1"/>
  <c r="R27" i="1"/>
  <c r="Z30" i="1"/>
  <c r="EL32" i="1"/>
  <c r="R32" i="1"/>
  <c r="EL33" i="1"/>
  <c r="R33" i="1"/>
  <c r="AS35" i="1"/>
  <c r="EL31" i="1"/>
  <c r="R31" i="1"/>
  <c r="R34" i="1"/>
  <c r="R35" i="1"/>
  <c r="BD32" i="1" l="1"/>
  <c r="BE32" i="1" s="1"/>
  <c r="AQ24" i="1"/>
  <c r="AU24" i="1"/>
  <c r="BD24" i="1" s="1"/>
  <c r="BE24" i="1" s="1"/>
  <c r="AX8" i="1"/>
  <c r="AU8" i="1"/>
  <c r="BD8" i="1" s="1"/>
  <c r="AX24" i="1"/>
  <c r="AS24" i="1"/>
  <c r="AS33" i="1"/>
  <c r="AS16" i="1"/>
  <c r="AS32" i="1"/>
  <c r="AQ32" i="1"/>
  <c r="AX32" i="1"/>
  <c r="AS10" i="1"/>
  <c r="AQ35" i="1"/>
  <c r="AS23" i="1"/>
  <c r="AU21" i="1"/>
  <c r="BD21" i="1" s="1"/>
  <c r="BE21" i="1" s="1"/>
  <c r="AS21" i="1"/>
  <c r="AS29" i="1"/>
  <c r="AU29" i="1"/>
  <c r="BD29" i="1" s="1"/>
  <c r="BE29" i="1" s="1"/>
  <c r="AS22" i="1"/>
  <c r="AU22" i="1"/>
  <c r="BD22" i="1" s="1"/>
  <c r="BE22" i="1" s="1"/>
  <c r="AS30" i="1"/>
  <c r="AU30" i="1"/>
  <c r="BD30" i="1" s="1"/>
  <c r="BE30" i="1" s="1"/>
  <c r="AU17" i="1"/>
  <c r="BD17" i="1" s="1"/>
  <c r="BE17" i="1" s="1"/>
  <c r="AS13" i="1"/>
  <c r="AS31" i="1"/>
  <c r="AU31" i="1"/>
  <c r="BD31" i="1" s="1"/>
  <c r="BE31" i="1" s="1"/>
  <c r="AU26" i="1"/>
  <c r="BD26" i="1" s="1"/>
  <c r="BE26" i="1" s="1"/>
  <c r="AS26" i="1"/>
  <c r="AS9" i="1"/>
  <c r="AS3" i="1"/>
  <c r="AQ28" i="1" l="1"/>
  <c r="AU28" i="1"/>
  <c r="BD28" i="1" s="1"/>
  <c r="BE28" i="1" s="1"/>
  <c r="AU34" i="1"/>
  <c r="BD34" i="1" s="1"/>
  <c r="BE34" i="1" s="1"/>
  <c r="AQ25" i="1"/>
  <c r="AU25" i="1"/>
  <c r="BD25" i="1" s="1"/>
  <c r="BE25" i="1" s="1"/>
  <c r="AQ27" i="1"/>
  <c r="AU27" i="1"/>
  <c r="BD27" i="1" s="1"/>
  <c r="BE27" i="1" s="1"/>
  <c r="AU23" i="1"/>
  <c r="BD23" i="1" s="1"/>
  <c r="BE23" i="1" s="1"/>
  <c r="AQ33" i="1"/>
  <c r="AU33" i="1"/>
  <c r="AU35" i="1"/>
  <c r="BD35" i="1" s="1"/>
  <c r="BE35" i="1" s="1"/>
  <c r="AU18" i="1"/>
  <c r="BD18" i="1" s="1"/>
  <c r="BE18" i="1" s="1"/>
  <c r="AU3" i="1"/>
  <c r="BD3" i="1" s="1"/>
  <c r="AU11" i="1"/>
  <c r="BD11" i="1" s="1"/>
  <c r="AU4" i="1"/>
  <c r="BD4" i="1" s="1"/>
  <c r="AU5" i="1"/>
  <c r="BD5" i="1" s="1"/>
  <c r="AU16" i="1"/>
  <c r="BD16" i="1" s="1"/>
  <c r="AU7" i="1"/>
  <c r="BD7" i="1" s="1"/>
  <c r="AU6" i="1"/>
  <c r="BD6" i="1" s="1"/>
  <c r="AU20" i="1"/>
  <c r="BD20" i="1" s="1"/>
  <c r="BE20" i="1" s="1"/>
  <c r="AU19" i="1"/>
  <c r="BD19" i="1" s="1"/>
  <c r="BE19" i="1" s="1"/>
  <c r="AU9" i="1"/>
  <c r="BD9" i="1" s="1"/>
  <c r="AU14" i="1"/>
  <c r="BD14" i="1" s="1"/>
  <c r="AU10" i="1"/>
  <c r="BD10" i="1" s="1"/>
  <c r="AU12" i="1"/>
  <c r="BD12" i="1" s="1"/>
  <c r="AU2" i="1"/>
  <c r="BD2" i="1" s="1"/>
  <c r="AQ18" i="1"/>
  <c r="AU13" i="1"/>
  <c r="BD13" i="1" s="1"/>
  <c r="AX15" i="1"/>
  <c r="AU15" i="1"/>
  <c r="BD15" i="1" s="1"/>
  <c r="AQ19" i="1"/>
  <c r="AQ34" i="1"/>
  <c r="AQ20" i="1"/>
  <c r="AX27" i="1"/>
  <c r="AX25" i="1"/>
  <c r="AX17" i="1"/>
  <c r="AQ17" i="1"/>
  <c r="AQ30" i="1"/>
  <c r="AX30" i="1"/>
  <c r="AQ21" i="1"/>
  <c r="AX21" i="1"/>
  <c r="AQ29" i="1"/>
  <c r="AX29" i="1"/>
  <c r="AQ23" i="1"/>
  <c r="AX23" i="1"/>
  <c r="AQ26" i="1"/>
  <c r="AX26" i="1"/>
  <c r="AX22" i="1"/>
  <c r="AQ22" i="1"/>
  <c r="AX31" i="1"/>
  <c r="AQ31" i="1"/>
  <c r="AX13" i="1" l="1"/>
  <c r="AX34" i="1"/>
  <c r="AX28" i="1"/>
  <c r="AX35" i="1"/>
  <c r="AX33" i="1"/>
  <c r="BD33" i="1"/>
  <c r="BE33" i="1" s="1"/>
  <c r="AX4" i="1"/>
  <c r="AX6" i="1"/>
  <c r="AX2" i="1"/>
  <c r="AX9" i="1"/>
  <c r="AX7" i="1"/>
  <c r="AX11" i="1"/>
  <c r="AX12" i="1"/>
  <c r="AX19" i="1"/>
  <c r="AX16" i="1"/>
  <c r="AX3" i="1"/>
  <c r="AX14" i="1"/>
  <c r="AX10" i="1"/>
  <c r="AX20" i="1"/>
  <c r="AX5" i="1"/>
  <c r="AX18" i="1"/>
  <c r="BI5" i="1" l="1"/>
  <c r="BK5" i="1"/>
  <c r="AW15" i="1"/>
  <c r="DK15" i="1"/>
  <c r="CW32" i="1"/>
  <c r="CY32" i="1"/>
  <c r="BI34" i="1"/>
  <c r="BK34" i="1"/>
  <c r="BI16" i="1"/>
  <c r="BK16" i="1"/>
  <c r="BI35" i="1"/>
  <c r="BK35" i="1"/>
  <c r="BI7" i="1"/>
  <c r="BK7" i="1"/>
  <c r="CW12" i="1"/>
  <c r="CY12" i="1"/>
  <c r="AW6" i="1"/>
  <c r="DK6" i="1"/>
  <c r="AW4" i="1"/>
  <c r="DK4" i="1"/>
  <c r="AW9" i="1"/>
  <c r="DK9" i="1"/>
  <c r="CW10" i="1"/>
  <c r="CY10" i="1"/>
  <c r="CW8" i="1"/>
  <c r="CY8" i="1"/>
  <c r="CW17" i="1"/>
  <c r="CY17" i="1"/>
  <c r="BI6" i="1"/>
  <c r="BK6" i="1"/>
  <c r="CW5" i="1"/>
  <c r="CY5" i="1"/>
  <c r="CW22" i="1"/>
  <c r="CY22" i="1"/>
  <c r="AV31" i="1"/>
  <c r="DK31" i="1"/>
  <c r="AW31" i="1"/>
  <c r="CW16" i="1"/>
  <c r="CY16" i="1"/>
  <c r="BI29" i="1"/>
  <c r="BK29" i="1"/>
  <c r="BI20" i="1"/>
  <c r="BK20" i="1"/>
  <c r="CW11" i="1"/>
  <c r="CY11" i="1"/>
  <c r="AV35" i="1"/>
  <c r="DK35" i="1"/>
  <c r="AW35" i="1"/>
  <c r="CW26" i="1"/>
  <c r="CY26" i="1"/>
  <c r="AV23" i="1"/>
  <c r="DK23" i="1"/>
  <c r="AW23" i="1"/>
  <c r="AW12" i="1"/>
  <c r="DK12" i="1"/>
  <c r="AW26" i="1"/>
  <c r="DK26" i="1"/>
  <c r="AV26" i="1"/>
  <c r="BI11" i="1"/>
  <c r="BK11" i="1"/>
  <c r="BI25" i="1"/>
  <c r="BK25" i="1"/>
  <c r="DA4" i="1"/>
  <c r="DA16" i="1"/>
  <c r="DA26" i="1"/>
  <c r="DA11" i="1"/>
  <c r="DA25" i="1"/>
  <c r="DA23" i="1"/>
  <c r="DA14" i="1"/>
  <c r="DA17" i="1"/>
  <c r="DA24" i="1"/>
  <c r="DA18" i="1"/>
  <c r="DA32" i="1"/>
  <c r="DA35" i="1"/>
  <c r="DA12" i="1"/>
  <c r="DA28" i="1"/>
  <c r="DA27" i="1"/>
  <c r="DA31" i="1"/>
  <c r="DA21" i="1"/>
  <c r="DA22" i="1"/>
  <c r="DA34" i="1"/>
  <c r="DA20" i="1"/>
  <c r="DA7" i="1"/>
  <c r="DA9" i="1"/>
  <c r="DA13" i="1"/>
  <c r="DA6" i="1"/>
  <c r="DA29" i="1"/>
  <c r="DA10" i="1"/>
  <c r="DA8" i="1"/>
  <c r="DA33" i="1"/>
  <c r="DA19" i="1"/>
  <c r="DA15" i="1"/>
  <c r="DA5" i="1"/>
  <c r="DA30" i="1"/>
  <c r="DA3" i="1"/>
  <c r="DA2" i="1"/>
  <c r="DI26" i="1"/>
  <c r="DI34" i="1"/>
  <c r="DI22" i="1"/>
  <c r="DI2" i="1"/>
  <c r="DI12" i="1"/>
  <c r="DI23" i="1"/>
  <c r="DI5" i="1"/>
  <c r="DI8" i="1"/>
  <c r="DI18" i="1"/>
  <c r="DI13" i="1"/>
  <c r="DI11" i="1"/>
  <c r="DI7" i="1"/>
  <c r="DI33" i="1"/>
  <c r="DI17" i="1"/>
  <c r="DI35" i="1"/>
  <c r="DI30" i="1"/>
  <c r="DI10" i="1"/>
  <c r="DI31" i="1"/>
  <c r="DI19" i="1"/>
  <c r="DI27" i="1"/>
  <c r="DI29" i="1"/>
  <c r="DI24" i="1"/>
  <c r="DI15" i="1"/>
  <c r="DI25" i="1"/>
  <c r="DI32" i="1"/>
  <c r="DI6" i="1"/>
  <c r="DI14" i="1"/>
  <c r="DI28" i="1"/>
  <c r="DI20" i="1"/>
  <c r="DI21" i="1"/>
  <c r="DI9" i="1"/>
  <c r="DI16" i="1"/>
  <c r="DI3" i="1"/>
  <c r="DI4" i="1"/>
  <c r="CR17" i="1"/>
  <c r="CR10" i="1"/>
  <c r="CR4" i="1"/>
  <c r="CR34" i="1"/>
  <c r="CR31" i="1"/>
  <c r="CR16" i="1"/>
  <c r="CR20" i="1"/>
  <c r="CR25" i="1"/>
  <c r="CR30" i="1"/>
  <c r="CR28" i="1"/>
  <c r="CR15" i="1"/>
  <c r="CR27" i="1"/>
  <c r="CR35" i="1"/>
  <c r="CR14" i="1"/>
  <c r="CR11" i="1"/>
  <c r="CR23" i="1"/>
  <c r="CR32" i="1"/>
  <c r="CR18" i="1"/>
  <c r="CR19" i="1"/>
  <c r="CR21" i="1"/>
  <c r="CR33" i="1"/>
  <c r="CR9" i="1"/>
  <c r="CR29" i="1"/>
  <c r="CR6" i="1"/>
  <c r="CR22" i="1"/>
  <c r="CR5" i="1"/>
  <c r="CR12" i="1"/>
  <c r="CR7" i="1"/>
  <c r="CR8" i="1"/>
  <c r="CR13" i="1"/>
  <c r="CR24" i="1"/>
  <c r="CR26" i="1"/>
  <c r="CR3" i="1"/>
  <c r="CR2" i="1"/>
  <c r="BL25" i="1"/>
  <c r="BL10" i="1"/>
  <c r="BL32" i="1"/>
  <c r="BL6" i="1"/>
  <c r="BL5" i="1"/>
  <c r="BL29" i="1"/>
  <c r="BL12" i="1"/>
  <c r="BL33" i="1"/>
  <c r="BL14" i="1"/>
  <c r="BL16" i="1"/>
  <c r="BL2" i="1"/>
  <c r="BL24" i="1"/>
  <c r="BL11" i="1"/>
  <c r="BL8" i="1"/>
  <c r="BL26" i="1"/>
  <c r="BL28" i="1"/>
  <c r="BL15" i="1"/>
  <c r="BL4" i="1"/>
  <c r="BL23" i="1"/>
  <c r="BL20" i="1"/>
  <c r="BL35" i="1"/>
  <c r="BL9" i="1"/>
  <c r="BL18" i="1"/>
  <c r="BL30" i="1"/>
  <c r="BL27" i="1"/>
  <c r="BL17" i="1"/>
  <c r="BL7" i="1"/>
  <c r="BL22" i="1"/>
  <c r="BL21" i="1"/>
  <c r="BL34" i="1"/>
  <c r="BL31" i="1"/>
  <c r="BL13" i="1"/>
  <c r="BL3" i="1"/>
  <c r="BL19" i="1"/>
  <c r="BT23" i="1"/>
  <c r="BT21" i="1"/>
  <c r="BT7" i="1"/>
  <c r="BT14" i="1"/>
  <c r="BT4" i="1"/>
  <c r="BT19" i="1"/>
  <c r="BT31" i="1"/>
  <c r="BT18" i="1"/>
  <c r="BT27" i="1"/>
  <c r="BT29" i="1"/>
  <c r="BT33" i="1"/>
  <c r="BT28" i="1"/>
  <c r="BT30" i="1"/>
  <c r="BT8" i="1"/>
  <c r="BT20" i="1"/>
  <c r="BT10" i="1"/>
  <c r="BT9" i="1"/>
  <c r="BT17" i="1"/>
  <c r="BT35" i="1"/>
  <c r="BT24" i="1"/>
  <c r="BT32" i="1"/>
  <c r="BT34" i="1"/>
  <c r="BT11" i="1"/>
  <c r="BT16" i="1"/>
  <c r="BT26" i="1"/>
  <c r="BT22" i="1"/>
  <c r="BT13" i="1"/>
  <c r="BT6" i="1"/>
  <c r="BT5" i="1"/>
  <c r="BT2" i="1"/>
  <c r="BT25" i="1"/>
  <c r="BT15" i="1"/>
  <c r="BT3" i="1"/>
  <c r="BT12" i="1"/>
  <c r="CJ26" i="1"/>
  <c r="CJ33" i="1"/>
  <c r="CJ35" i="1"/>
  <c r="CJ20" i="1"/>
  <c r="CJ32" i="1"/>
  <c r="CJ34" i="1"/>
  <c r="CJ25" i="1"/>
  <c r="CJ10" i="1"/>
  <c r="CJ5" i="1"/>
  <c r="CJ8" i="1"/>
  <c r="CJ7" i="1"/>
  <c r="CJ23" i="1"/>
  <c r="CJ2" i="1"/>
  <c r="CJ4" i="1"/>
  <c r="CJ17" i="1"/>
  <c r="CJ6" i="1"/>
  <c r="CJ11" i="1"/>
  <c r="CJ22" i="1"/>
  <c r="CJ30" i="1"/>
  <c r="CJ15" i="1"/>
  <c r="CJ16" i="1"/>
  <c r="CJ19" i="1"/>
  <c r="CJ13" i="1"/>
  <c r="CJ28" i="1"/>
  <c r="CJ21" i="1"/>
  <c r="CJ18" i="1"/>
  <c r="CJ29" i="1"/>
  <c r="CJ9" i="1"/>
  <c r="CJ31" i="1"/>
  <c r="CJ24" i="1"/>
  <c r="CJ12" i="1"/>
  <c r="CJ27" i="1"/>
  <c r="CJ3" i="1"/>
  <c r="CJ14" i="1"/>
  <c r="CB32" i="1"/>
  <c r="CB29" i="1"/>
  <c r="CB11" i="1"/>
  <c r="CB9" i="1"/>
  <c r="CB2" i="1"/>
  <c r="CB18" i="1"/>
  <c r="CB19" i="1"/>
  <c r="CB15" i="1"/>
  <c r="CB5" i="1"/>
  <c r="CB25" i="1"/>
  <c r="CB21" i="1"/>
  <c r="CB31" i="1"/>
  <c r="CB6" i="1"/>
  <c r="CB13" i="1"/>
  <c r="CB24" i="1"/>
  <c r="CB30" i="1"/>
  <c r="CB23" i="1"/>
  <c r="CB28" i="1"/>
  <c r="CB35" i="1"/>
  <c r="CB8" i="1"/>
  <c r="CB26" i="1"/>
  <c r="CB10" i="1"/>
  <c r="CB16" i="1"/>
  <c r="CB33" i="1"/>
  <c r="CB4" i="1"/>
  <c r="CB20" i="1"/>
  <c r="CB34" i="1"/>
  <c r="CB17" i="1"/>
  <c r="CB12" i="1"/>
  <c r="CB22" i="1"/>
  <c r="CB27" i="1"/>
  <c r="CB14" i="1"/>
  <c r="CB3" i="1"/>
  <c r="CB7" i="1"/>
  <c r="DQ29" i="1"/>
  <c r="DQ23" i="1"/>
  <c r="DQ11" i="1"/>
  <c r="DQ8" i="1"/>
  <c r="DQ13" i="1"/>
  <c r="DQ21" i="1"/>
  <c r="DQ35" i="1"/>
  <c r="DQ32" i="1"/>
  <c r="DQ4" i="1"/>
  <c r="DQ24" i="1"/>
  <c r="DQ34" i="1"/>
  <c r="DQ5" i="1"/>
  <c r="DQ14" i="1"/>
  <c r="DQ25" i="1"/>
  <c r="DQ17" i="1"/>
  <c r="DQ2" i="1"/>
  <c r="DQ16" i="1"/>
  <c r="DQ19" i="1"/>
  <c r="DQ20" i="1"/>
  <c r="DQ28" i="1"/>
  <c r="DQ33" i="1"/>
  <c r="DQ10" i="1"/>
  <c r="DQ15" i="1"/>
  <c r="DQ27" i="1"/>
  <c r="DQ6" i="1"/>
  <c r="DQ9" i="1"/>
  <c r="DQ30" i="1"/>
  <c r="DQ12" i="1"/>
  <c r="DQ22" i="1"/>
  <c r="DQ26" i="1"/>
  <c r="DQ18" i="1"/>
  <c r="DQ31" i="1"/>
  <c r="DQ3" i="1"/>
  <c r="DQ7" i="1"/>
  <c r="DY7" i="1"/>
  <c r="DY27" i="1"/>
  <c r="DY22" i="1"/>
  <c r="DY6" i="1"/>
  <c r="DY31" i="1"/>
  <c r="DY19" i="1"/>
  <c r="DY17" i="1"/>
  <c r="DY24" i="1"/>
  <c r="DY32" i="1"/>
  <c r="DY13" i="1"/>
  <c r="DY5" i="1"/>
  <c r="DY9" i="1"/>
  <c r="DY12" i="1"/>
  <c r="DY25" i="1"/>
  <c r="DY23" i="1"/>
  <c r="DY35" i="1"/>
  <c r="DY16" i="1"/>
  <c r="DY2" i="1"/>
  <c r="DY28" i="1"/>
  <c r="DY20" i="1"/>
  <c r="DY33" i="1"/>
  <c r="DY4" i="1"/>
  <c r="DY26" i="1"/>
  <c r="DY10" i="1"/>
  <c r="DY18" i="1"/>
  <c r="DY30" i="1"/>
  <c r="DY21" i="1"/>
  <c r="DY14" i="1"/>
  <c r="DY29" i="1"/>
  <c r="DY8" i="1"/>
  <c r="DY34" i="1"/>
  <c r="DY15" i="1"/>
  <c r="DY3" i="1"/>
  <c r="DY11" i="1"/>
  <c r="EG16" i="1"/>
  <c r="EG20" i="1"/>
  <c r="EG15" i="1"/>
  <c r="EG23" i="1"/>
  <c r="EG7" i="1"/>
  <c r="EG18" i="1"/>
  <c r="EG21" i="1"/>
  <c r="EG30" i="1"/>
  <c r="EG31" i="1"/>
  <c r="EG33" i="1"/>
  <c r="EG34" i="1"/>
  <c r="EG27" i="1"/>
  <c r="EG5" i="1"/>
  <c r="EG6" i="1"/>
  <c r="EG2" i="1"/>
  <c r="EG14" i="1"/>
  <c r="EG8" i="1"/>
  <c r="EG28" i="1"/>
  <c r="EG19" i="1"/>
  <c r="EG13" i="1"/>
  <c r="EG29" i="1"/>
  <c r="EG26" i="1"/>
  <c r="EG9" i="1"/>
  <c r="EG10" i="1"/>
  <c r="EG32" i="1"/>
  <c r="EG17" i="1"/>
  <c r="EG22" i="1"/>
  <c r="EG25" i="1"/>
  <c r="EG24" i="1"/>
  <c r="EG11" i="1"/>
  <c r="EG12" i="1"/>
  <c r="EG4" i="1"/>
  <c r="EG3" i="1"/>
  <c r="EG35" i="1"/>
  <c r="BM11" i="1"/>
  <c r="BM15" i="1"/>
  <c r="BM23" i="1"/>
  <c r="BM5" i="1"/>
  <c r="BM9" i="1"/>
  <c r="BM16" i="1"/>
  <c r="BM34" i="1"/>
  <c r="BM20" i="1"/>
  <c r="BM21" i="1"/>
  <c r="BM12" i="1"/>
  <c r="BM14" i="1"/>
  <c r="BM2" i="1"/>
  <c r="BM35" i="1"/>
  <c r="BM19" i="1"/>
  <c r="BM29" i="1"/>
  <c r="BM13" i="1"/>
  <c r="BM25" i="1"/>
  <c r="BM26" i="1"/>
  <c r="BM32" i="1"/>
  <c r="BM27" i="1"/>
  <c r="BM17" i="1"/>
  <c r="BM22" i="1"/>
  <c r="BM7" i="1"/>
  <c r="BM30" i="1"/>
  <c r="BM10" i="1"/>
  <c r="BM6" i="1"/>
  <c r="BM4" i="1"/>
  <c r="BM31" i="1"/>
  <c r="BM28" i="1"/>
  <c r="BM24" i="1"/>
  <c r="BM8" i="1"/>
  <c r="BM33" i="1"/>
  <c r="BM3" i="1"/>
  <c r="BM18" i="1"/>
  <c r="BU9" i="1"/>
  <c r="BU5" i="1"/>
  <c r="BU31" i="1"/>
  <c r="BU4" i="1"/>
  <c r="BU29" i="1"/>
  <c r="BU20" i="1"/>
  <c r="BU23" i="1"/>
  <c r="BU30" i="1"/>
  <c r="BU32" i="1"/>
  <c r="BU13" i="1"/>
  <c r="BU33" i="1"/>
  <c r="BU28" i="1"/>
  <c r="BU12" i="1"/>
  <c r="BU7" i="1"/>
  <c r="BU24" i="1"/>
  <c r="BU14" i="1"/>
  <c r="BU27" i="1"/>
  <c r="BU21" i="1"/>
  <c r="BU26" i="1"/>
  <c r="BU16" i="1"/>
  <c r="BU19" i="1"/>
  <c r="BU22" i="1"/>
  <c r="BU18" i="1"/>
  <c r="BU10" i="1"/>
  <c r="BU6" i="1"/>
  <c r="BU15" i="1"/>
  <c r="BU11" i="1"/>
  <c r="BU17" i="1"/>
  <c r="BU34" i="1"/>
  <c r="BU25" i="1"/>
  <c r="BU2" i="1"/>
  <c r="BU35" i="1"/>
  <c r="BU3" i="1"/>
  <c r="BU8" i="1"/>
  <c r="CC4" i="1"/>
  <c r="CC23" i="1"/>
  <c r="CC24" i="1"/>
  <c r="CC9" i="1"/>
  <c r="CC27" i="1"/>
  <c r="CC21" i="1"/>
  <c r="CC14" i="1"/>
  <c r="CC34" i="1"/>
  <c r="CC18" i="1"/>
  <c r="CC35" i="1"/>
  <c r="CC11" i="1"/>
  <c r="CC8" i="1"/>
  <c r="CC25" i="1"/>
  <c r="CC20" i="1"/>
  <c r="CC7" i="1"/>
  <c r="CC28" i="1"/>
  <c r="CC33" i="1"/>
  <c r="CC15" i="1"/>
  <c r="CC13" i="1"/>
  <c r="CC32" i="1"/>
  <c r="CC16" i="1"/>
  <c r="CC2" i="1"/>
  <c r="CC6" i="1"/>
  <c r="CC17" i="1"/>
  <c r="CC19" i="1"/>
  <c r="CC30" i="1"/>
  <c r="CC5" i="1"/>
  <c r="CC31" i="1"/>
  <c r="CC12" i="1"/>
  <c r="CC22" i="1"/>
  <c r="CC10" i="1"/>
  <c r="CC26" i="1"/>
  <c r="CC3" i="1"/>
  <c r="CC29" i="1"/>
  <c r="CK8" i="1"/>
  <c r="CK2" i="1"/>
  <c r="CK25" i="1"/>
  <c r="CK9" i="1"/>
  <c r="CK7" i="1"/>
  <c r="CK21" i="1"/>
  <c r="CK19" i="1"/>
  <c r="CK13" i="1"/>
  <c r="CK26" i="1"/>
  <c r="CK4" i="1"/>
  <c r="CK32" i="1"/>
  <c r="CK6" i="1"/>
  <c r="CK30" i="1"/>
  <c r="CK24" i="1"/>
  <c r="CK14" i="1"/>
  <c r="CK22" i="1"/>
  <c r="CK27" i="1"/>
  <c r="CK16" i="1"/>
  <c r="CK23" i="1"/>
  <c r="CK31" i="1"/>
  <c r="CK20" i="1"/>
  <c r="CK15" i="1"/>
  <c r="CK17" i="1"/>
  <c r="CK34" i="1"/>
  <c r="CK29" i="1"/>
  <c r="CK18" i="1"/>
  <c r="CK12" i="1"/>
  <c r="CK5" i="1"/>
  <c r="CK28" i="1"/>
  <c r="CK33" i="1"/>
  <c r="CK11" i="1"/>
  <c r="CK10" i="1"/>
  <c r="CK3" i="1"/>
  <c r="CK35" i="1"/>
  <c r="CS26" i="1"/>
  <c r="CS5" i="1"/>
  <c r="CS28" i="1"/>
  <c r="CS25" i="1"/>
  <c r="CS33" i="1"/>
  <c r="CS30" i="1"/>
  <c r="CS9" i="1"/>
  <c r="CS19" i="1"/>
  <c r="CS14" i="1"/>
  <c r="CS12" i="1"/>
  <c r="CS16" i="1"/>
  <c r="CS11" i="1"/>
  <c r="CS27" i="1"/>
  <c r="CS6" i="1"/>
  <c r="CS15" i="1"/>
  <c r="CS13" i="1"/>
  <c r="CS23" i="1"/>
  <c r="CS34" i="1"/>
  <c r="CS20" i="1"/>
  <c r="CS2" i="1"/>
  <c r="CS29" i="1"/>
  <c r="CS22" i="1"/>
  <c r="CS8" i="1"/>
  <c r="CS24" i="1"/>
  <c r="CS35" i="1"/>
  <c r="CS10" i="1"/>
  <c r="CS7" i="1"/>
  <c r="CS21" i="1"/>
  <c r="CS31" i="1"/>
  <c r="CS18" i="1"/>
  <c r="CS17" i="1"/>
  <c r="CS4" i="1"/>
  <c r="CS3" i="1"/>
  <c r="CS32" i="1"/>
  <c r="DB8" i="1"/>
  <c r="DB24" i="1"/>
  <c r="DB27" i="1"/>
  <c r="DB5" i="1"/>
  <c r="DB22" i="1"/>
  <c r="DB12" i="1"/>
  <c r="DB23" i="1"/>
  <c r="DB29" i="1"/>
  <c r="DB32" i="1"/>
  <c r="DB17" i="1"/>
  <c r="DB19" i="1"/>
  <c r="DB9" i="1"/>
  <c r="DB34" i="1"/>
  <c r="DB16" i="1"/>
  <c r="DB30" i="1"/>
  <c r="DB11" i="1"/>
  <c r="DB21" i="1"/>
  <c r="DB28" i="1"/>
  <c r="DB26" i="1"/>
  <c r="DB15" i="1"/>
  <c r="DB10" i="1"/>
  <c r="DB20" i="1"/>
  <c r="DB25" i="1"/>
  <c r="DB7" i="1"/>
  <c r="DB14" i="1"/>
  <c r="DB31" i="1"/>
  <c r="DB33" i="1"/>
  <c r="DB35" i="1"/>
  <c r="DB13" i="1"/>
  <c r="DB18" i="1"/>
  <c r="DB6" i="1"/>
  <c r="DB4" i="1"/>
  <c r="DB3" i="1"/>
  <c r="DB2" i="1"/>
  <c r="AW21" i="1"/>
  <c r="DK21" i="1"/>
  <c r="AV21" i="1"/>
  <c r="DJ21" i="1"/>
  <c r="DJ29" i="1"/>
  <c r="DJ19" i="1"/>
  <c r="DJ8" i="1"/>
  <c r="DJ34" i="1"/>
  <c r="DJ35" i="1"/>
  <c r="DJ14" i="1"/>
  <c r="DJ6" i="1"/>
  <c r="DJ7" i="1"/>
  <c r="DJ4" i="1"/>
  <c r="DJ30" i="1"/>
  <c r="DJ11" i="1"/>
  <c r="DJ9" i="1"/>
  <c r="DJ17" i="1"/>
  <c r="DJ16" i="1"/>
  <c r="DJ2" i="1"/>
  <c r="DJ24" i="1"/>
  <c r="DJ5" i="1"/>
  <c r="DJ10" i="1"/>
  <c r="DJ12" i="1"/>
  <c r="DJ27" i="1"/>
  <c r="DJ18" i="1"/>
  <c r="DJ33" i="1"/>
  <c r="DJ23" i="1"/>
  <c r="DJ28" i="1"/>
  <c r="DJ32" i="1"/>
  <c r="DJ26" i="1"/>
  <c r="DJ20" i="1"/>
  <c r="DJ25" i="1"/>
  <c r="DJ13" i="1"/>
  <c r="DJ31" i="1"/>
  <c r="DJ22" i="1"/>
  <c r="DJ3" i="1"/>
  <c r="DJ15" i="1"/>
  <c r="DR35" i="1"/>
  <c r="DR19" i="1"/>
  <c r="DR10" i="1"/>
  <c r="DR12" i="1"/>
  <c r="DR9" i="1"/>
  <c r="DR23" i="1"/>
  <c r="DR32" i="1"/>
  <c r="DR8" i="1"/>
  <c r="DR27" i="1"/>
  <c r="DR28" i="1"/>
  <c r="DR2" i="1"/>
  <c r="DR22" i="1"/>
  <c r="DR17" i="1"/>
  <c r="DR24" i="1"/>
  <c r="DR15" i="1"/>
  <c r="DR14" i="1"/>
  <c r="DR29" i="1"/>
  <c r="DR33" i="1"/>
  <c r="DR34" i="1"/>
  <c r="DR25" i="1"/>
  <c r="DR4" i="1"/>
  <c r="DR6" i="1"/>
  <c r="DR11" i="1"/>
  <c r="DR31" i="1"/>
  <c r="DR21" i="1"/>
  <c r="DR30" i="1"/>
  <c r="DR13" i="1"/>
  <c r="DR5" i="1"/>
  <c r="DR26" i="1"/>
  <c r="DR18" i="1"/>
  <c r="DR16" i="1"/>
  <c r="DR20" i="1"/>
  <c r="DR3" i="1"/>
  <c r="DR7" i="1"/>
  <c r="CW29" i="1"/>
  <c r="CY29" i="1"/>
  <c r="AW30" i="1"/>
  <c r="DK30" i="1"/>
  <c r="AV30" i="1"/>
  <c r="BI17" i="1"/>
  <c r="BK17" i="1"/>
  <c r="CW2" i="1"/>
  <c r="CY2" i="1"/>
  <c r="BI31" i="1"/>
  <c r="BK31" i="1"/>
  <c r="BI9" i="1"/>
  <c r="BK9" i="1"/>
  <c r="BI12" i="1"/>
  <c r="BK12" i="1"/>
  <c r="CW35" i="1"/>
  <c r="CY35" i="1"/>
  <c r="CW24" i="1"/>
  <c r="CY24" i="1"/>
  <c r="BI18" i="1"/>
  <c r="BK18" i="1"/>
  <c r="AW5" i="1"/>
  <c r="DK5" i="1"/>
  <c r="BI15" i="1"/>
  <c r="BK15" i="1"/>
  <c r="BI8" i="1"/>
  <c r="BK8" i="1"/>
  <c r="AV18" i="1"/>
  <c r="DK18" i="1"/>
  <c r="AW18" i="1"/>
  <c r="DZ13" i="1"/>
  <c r="DZ23" i="1"/>
  <c r="DZ22" i="1"/>
  <c r="DZ6" i="1"/>
  <c r="DZ32" i="1"/>
  <c r="DZ27" i="1"/>
  <c r="DZ18" i="1"/>
  <c r="DZ11" i="1"/>
  <c r="DZ5" i="1"/>
  <c r="DZ35" i="1"/>
  <c r="DZ9" i="1"/>
  <c r="DZ29" i="1"/>
  <c r="DZ12" i="1"/>
  <c r="DZ28" i="1"/>
  <c r="DZ10" i="1"/>
  <c r="DZ25" i="1"/>
  <c r="DZ17" i="1"/>
  <c r="DZ21" i="1"/>
  <c r="DZ26" i="1"/>
  <c r="DZ15" i="1"/>
  <c r="DZ8" i="1"/>
  <c r="DZ4" i="1"/>
  <c r="DZ20" i="1"/>
  <c r="DZ33" i="1"/>
  <c r="DZ31" i="1"/>
  <c r="DZ2" i="1"/>
  <c r="DZ16" i="1"/>
  <c r="DZ19" i="1"/>
  <c r="DZ34" i="1"/>
  <c r="DZ7" i="1"/>
  <c r="DZ14" i="1"/>
  <c r="DZ24" i="1"/>
  <c r="DZ3" i="1"/>
  <c r="DZ30" i="1"/>
  <c r="EH13" i="1"/>
  <c r="EH28" i="1"/>
  <c r="EH18" i="1"/>
  <c r="EH21" i="1"/>
  <c r="EH2" i="1"/>
  <c r="EH19" i="1"/>
  <c r="EH29" i="1"/>
  <c r="EH11" i="1"/>
  <c r="EH35" i="1"/>
  <c r="EH25" i="1"/>
  <c r="EH16" i="1"/>
  <c r="EH4" i="1"/>
  <c r="EH22" i="1"/>
  <c r="EH24" i="1"/>
  <c r="EH31" i="1"/>
  <c r="EH20" i="1"/>
  <c r="EH15" i="1"/>
  <c r="EH23" i="1"/>
  <c r="EH9" i="1"/>
  <c r="EH6" i="1"/>
  <c r="EH7" i="1"/>
  <c r="EH30" i="1"/>
  <c r="EH26" i="1"/>
  <c r="EH14" i="1"/>
  <c r="EH8" i="1"/>
  <c r="EH17" i="1"/>
  <c r="EH27" i="1"/>
  <c r="EH33" i="1"/>
  <c r="EH10" i="1"/>
  <c r="EH12" i="1"/>
  <c r="EH5" i="1"/>
  <c r="EH34" i="1"/>
  <c r="EH3" i="1"/>
  <c r="EH32" i="1"/>
  <c r="BR19" i="1"/>
  <c r="BR12" i="1"/>
  <c r="BR4" i="1"/>
  <c r="BR29" i="1"/>
  <c r="BR35" i="1"/>
  <c r="BR32" i="1"/>
  <c r="BR34" i="1"/>
  <c r="BR24" i="1"/>
  <c r="BR18" i="1"/>
  <c r="BR20" i="1"/>
  <c r="BR9" i="1"/>
  <c r="BR2" i="1"/>
  <c r="BR15" i="1"/>
  <c r="BR33" i="1"/>
  <c r="BR17" i="1"/>
  <c r="BR6" i="1"/>
  <c r="BR21" i="1"/>
  <c r="BR10" i="1"/>
  <c r="BR31" i="1"/>
  <c r="BR16" i="1"/>
  <c r="BR30" i="1"/>
  <c r="BR22" i="1"/>
  <c r="BR13" i="1"/>
  <c r="BR11" i="1"/>
  <c r="BR28" i="1"/>
  <c r="BR14" i="1"/>
  <c r="BR23" i="1"/>
  <c r="BR5" i="1"/>
  <c r="BR26" i="1"/>
  <c r="BR7" i="1"/>
  <c r="BR8" i="1"/>
  <c r="BR25" i="1"/>
  <c r="BR3" i="1"/>
  <c r="BR27" i="1"/>
  <c r="BZ30" i="1"/>
  <c r="BZ20" i="1"/>
  <c r="BZ9" i="1"/>
  <c r="BZ28" i="1"/>
  <c r="BZ23" i="1"/>
  <c r="BZ5" i="1"/>
  <c r="BZ2" i="1"/>
  <c r="BZ26" i="1"/>
  <c r="BZ19" i="1"/>
  <c r="BZ22" i="1"/>
  <c r="BZ24" i="1"/>
  <c r="BZ33" i="1"/>
  <c r="BZ21" i="1"/>
  <c r="BZ32" i="1"/>
  <c r="BZ7" i="1"/>
  <c r="BZ27" i="1"/>
  <c r="BZ34" i="1"/>
  <c r="BZ10" i="1"/>
  <c r="BZ14" i="1"/>
  <c r="BZ31" i="1"/>
  <c r="BZ11" i="1"/>
  <c r="BZ12" i="1"/>
  <c r="BZ17" i="1"/>
  <c r="BZ35" i="1"/>
  <c r="BZ29" i="1"/>
  <c r="BZ6" i="1"/>
  <c r="BZ16" i="1"/>
  <c r="BZ4" i="1"/>
  <c r="BZ13" i="1"/>
  <c r="BZ25" i="1"/>
  <c r="BZ15" i="1"/>
  <c r="BZ18" i="1"/>
  <c r="BZ3" i="1"/>
  <c r="BZ8" i="1"/>
  <c r="CH12" i="1"/>
  <c r="CH5" i="1"/>
  <c r="CH21" i="1"/>
  <c r="CH25" i="1"/>
  <c r="CH31" i="1"/>
  <c r="CH11" i="1"/>
  <c r="CH34" i="1"/>
  <c r="CH24" i="1"/>
  <c r="CH15" i="1"/>
  <c r="CH30" i="1"/>
  <c r="CH22" i="1"/>
  <c r="CH14" i="1"/>
  <c r="CH35" i="1"/>
  <c r="CH17" i="1"/>
  <c r="CH20" i="1"/>
  <c r="CH27" i="1"/>
  <c r="CH16" i="1"/>
  <c r="CH29" i="1"/>
  <c r="CH7" i="1"/>
  <c r="CH6" i="1"/>
  <c r="CH33" i="1"/>
  <c r="CH8" i="1"/>
  <c r="CH23" i="1"/>
  <c r="CH26" i="1"/>
  <c r="CH2" i="1"/>
  <c r="CH10" i="1"/>
  <c r="CH4" i="1"/>
  <c r="CH13" i="1"/>
  <c r="CH18" i="1"/>
  <c r="CH9" i="1"/>
  <c r="CH19" i="1"/>
  <c r="CH32" i="1"/>
  <c r="CH3" i="1"/>
  <c r="CH28" i="1"/>
  <c r="CP13" i="1"/>
  <c r="CP35" i="1"/>
  <c r="CP31" i="1"/>
  <c r="CP11" i="1"/>
  <c r="CP25" i="1"/>
  <c r="CP2" i="1"/>
  <c r="CP27" i="1"/>
  <c r="CP8" i="1"/>
  <c r="CP34" i="1"/>
  <c r="CP4" i="1"/>
  <c r="CP33" i="1"/>
  <c r="CP7" i="1"/>
  <c r="CP10" i="1"/>
  <c r="CP16" i="1"/>
  <c r="CP32" i="1"/>
  <c r="CP20" i="1"/>
  <c r="CP28" i="1"/>
  <c r="CP26" i="1"/>
  <c r="CP21" i="1"/>
  <c r="CP30" i="1"/>
  <c r="CP22" i="1"/>
  <c r="CP29" i="1"/>
  <c r="CP9" i="1"/>
  <c r="CP24" i="1"/>
  <c r="CP19" i="1"/>
  <c r="CP6" i="1"/>
  <c r="CP12" i="1"/>
  <c r="CP5" i="1"/>
  <c r="CP14" i="1"/>
  <c r="CP15" i="1"/>
  <c r="CP18" i="1"/>
  <c r="CP17" i="1"/>
  <c r="CP3" i="1"/>
  <c r="CP23" i="1"/>
  <c r="DG15" i="1"/>
  <c r="DG6" i="1"/>
  <c r="DG11" i="1"/>
  <c r="DG13" i="1"/>
  <c r="DG31" i="1"/>
  <c r="DG12" i="1"/>
  <c r="DG17" i="1"/>
  <c r="DG33" i="1"/>
  <c r="DG24" i="1"/>
  <c r="DG27" i="1"/>
  <c r="DG10" i="1"/>
  <c r="DG8" i="1"/>
  <c r="DG28" i="1"/>
  <c r="DG35" i="1"/>
  <c r="DG32" i="1"/>
  <c r="DG9" i="1"/>
  <c r="DG34" i="1"/>
  <c r="DG5" i="1"/>
  <c r="DG20" i="1"/>
  <c r="DG2" i="1"/>
  <c r="DG29" i="1"/>
  <c r="DG25" i="1"/>
  <c r="DG7" i="1"/>
  <c r="DG18" i="1"/>
  <c r="DG16" i="1"/>
  <c r="DG19" i="1"/>
  <c r="DG21" i="1"/>
  <c r="DG22" i="1"/>
  <c r="DG14" i="1"/>
  <c r="DG23" i="1"/>
  <c r="DG4" i="1"/>
  <c r="DG26" i="1"/>
  <c r="DG3" i="1"/>
  <c r="DG30" i="1"/>
  <c r="DO20" i="1"/>
  <c r="DO7" i="1"/>
  <c r="DO8" i="1"/>
  <c r="DO29" i="1"/>
  <c r="DO4" i="1"/>
  <c r="DO11" i="1"/>
  <c r="DO9" i="1"/>
  <c r="DO16" i="1"/>
  <c r="DO13" i="1"/>
  <c r="DO30" i="1"/>
  <c r="DO10" i="1"/>
  <c r="DO12" i="1"/>
  <c r="DO14" i="1"/>
  <c r="DO22" i="1"/>
  <c r="DO24" i="1"/>
  <c r="DO34" i="1"/>
  <c r="DO25" i="1"/>
  <c r="DO17" i="1"/>
  <c r="DO27" i="1"/>
  <c r="DO21" i="1"/>
  <c r="DO31" i="1"/>
  <c r="DO15" i="1"/>
  <c r="DO19" i="1"/>
  <c r="DO35" i="1"/>
  <c r="DO32" i="1"/>
  <c r="DO2" i="1"/>
  <c r="DO18" i="1"/>
  <c r="DO23" i="1"/>
  <c r="DO6" i="1"/>
  <c r="DO26" i="1"/>
  <c r="DO28" i="1"/>
  <c r="DO5" i="1"/>
  <c r="DO3" i="1"/>
  <c r="DO33" i="1"/>
  <c r="DW4" i="1"/>
  <c r="DW27" i="1"/>
  <c r="DW10" i="1"/>
  <c r="DW28" i="1"/>
  <c r="DW33" i="1"/>
  <c r="DW8" i="1"/>
  <c r="DW21" i="1"/>
  <c r="DW16" i="1"/>
  <c r="DW17" i="1"/>
  <c r="DW20" i="1"/>
  <c r="DW6" i="1"/>
  <c r="DW11" i="1"/>
  <c r="DW34" i="1"/>
  <c r="DW24" i="1"/>
  <c r="DW30" i="1"/>
  <c r="DW19" i="1"/>
  <c r="DW13" i="1"/>
  <c r="DW5" i="1"/>
  <c r="DW2" i="1"/>
  <c r="DW25" i="1"/>
  <c r="DW9" i="1"/>
  <c r="DW15" i="1"/>
  <c r="DW31" i="1"/>
  <c r="DW18" i="1"/>
  <c r="DW29" i="1"/>
  <c r="DW26" i="1"/>
  <c r="DW12" i="1"/>
  <c r="DW22" i="1"/>
  <c r="DW32" i="1"/>
  <c r="DW23" i="1"/>
  <c r="DW14" i="1"/>
  <c r="DW35" i="1"/>
  <c r="DW3" i="1"/>
  <c r="DW7" i="1"/>
  <c r="CW18" i="1"/>
  <c r="CY18" i="1"/>
  <c r="BI13" i="1"/>
  <c r="BK13" i="1"/>
  <c r="AW32" i="1"/>
  <c r="DK32" i="1"/>
  <c r="AV32" i="1"/>
  <c r="AV20" i="1"/>
  <c r="DK20" i="1"/>
  <c r="AW20" i="1"/>
  <c r="CW21" i="1"/>
  <c r="CY21" i="1"/>
  <c r="CW28" i="1"/>
  <c r="CY28" i="1"/>
  <c r="CW4" i="1"/>
  <c r="CY4" i="1"/>
  <c r="AW11" i="1"/>
  <c r="DK11" i="1"/>
  <c r="CW25" i="1"/>
  <c r="CY25" i="1"/>
  <c r="BI28" i="1"/>
  <c r="BK28" i="1"/>
  <c r="CW31" i="1"/>
  <c r="CY31" i="1"/>
  <c r="BI24" i="1"/>
  <c r="BK24" i="1"/>
  <c r="AW34" i="1"/>
  <c r="DK34" i="1"/>
  <c r="AV34" i="1"/>
  <c r="CW23" i="1"/>
  <c r="CY23" i="1"/>
  <c r="CW27" i="1"/>
  <c r="CY27" i="1"/>
  <c r="EE12" i="1"/>
  <c r="EE19" i="1"/>
  <c r="EE25" i="1"/>
  <c r="EE16" i="1"/>
  <c r="EE27" i="1"/>
  <c r="EE21" i="1"/>
  <c r="EE18" i="1"/>
  <c r="EE28" i="1"/>
  <c r="EE32" i="1"/>
  <c r="EE35" i="1"/>
  <c r="EE30" i="1"/>
  <c r="EE2" i="1"/>
  <c r="EE11" i="1"/>
  <c r="EE23" i="1"/>
  <c r="EE8" i="1"/>
  <c r="EE26" i="1"/>
  <c r="EE15" i="1"/>
  <c r="EE9" i="1"/>
  <c r="EE34" i="1"/>
  <c r="EE13" i="1"/>
  <c r="EE14" i="1"/>
  <c r="EE6" i="1"/>
  <c r="EE22" i="1"/>
  <c r="EE7" i="1"/>
  <c r="EE31" i="1"/>
  <c r="EE10" i="1"/>
  <c r="EE5" i="1"/>
  <c r="EE24" i="1"/>
  <c r="EE4" i="1"/>
  <c r="EE29" i="1"/>
  <c r="EE33" i="1"/>
  <c r="EE20" i="1"/>
  <c r="EE3" i="1"/>
  <c r="EE17" i="1"/>
  <c r="BO6" i="1"/>
  <c r="BO34" i="1"/>
  <c r="BO29" i="1"/>
  <c r="BO7" i="1"/>
  <c r="BO15" i="1"/>
  <c r="BO20" i="1"/>
  <c r="BO18" i="1"/>
  <c r="BO13" i="1"/>
  <c r="BO27" i="1"/>
  <c r="BO5" i="1"/>
  <c r="BO33" i="1"/>
  <c r="BO12" i="1"/>
  <c r="BO25" i="1"/>
  <c r="BO26" i="1"/>
  <c r="BO14" i="1"/>
  <c r="BO10" i="1"/>
  <c r="BO23" i="1"/>
  <c r="BO21" i="1"/>
  <c r="BO30" i="1"/>
  <c r="BO31" i="1"/>
  <c r="BO28" i="1"/>
  <c r="BO35" i="1"/>
  <c r="BO11" i="1"/>
  <c r="BO8" i="1"/>
  <c r="BO9" i="1"/>
  <c r="BO32" i="1"/>
  <c r="BO4" i="1"/>
  <c r="BO24" i="1"/>
  <c r="BO16" i="1"/>
  <c r="BO22" i="1"/>
  <c r="BO17" i="1"/>
  <c r="BO2" i="1"/>
  <c r="BO3" i="1"/>
  <c r="BO19" i="1"/>
  <c r="BW22" i="1"/>
  <c r="BW27" i="1"/>
  <c r="BW30" i="1"/>
  <c r="BW14" i="1"/>
  <c r="BW15" i="1"/>
  <c r="BW2" i="1"/>
  <c r="BW32" i="1"/>
  <c r="BW6" i="1"/>
  <c r="BW18" i="1"/>
  <c r="BW25" i="1"/>
  <c r="BW4" i="1"/>
  <c r="BW12" i="1"/>
  <c r="BW23" i="1"/>
  <c r="BW33" i="1"/>
  <c r="BW19" i="1"/>
  <c r="BW10" i="1"/>
  <c r="BW8" i="1"/>
  <c r="BW16" i="1"/>
  <c r="BW31" i="1"/>
  <c r="BW20" i="1"/>
  <c r="BW7" i="1"/>
  <c r="BW13" i="1"/>
  <c r="BW11" i="1"/>
  <c r="BW17" i="1"/>
  <c r="BW34" i="1"/>
  <c r="BW28" i="1"/>
  <c r="BW9" i="1"/>
  <c r="BW26" i="1"/>
  <c r="BW24" i="1"/>
  <c r="BW35" i="1"/>
  <c r="BW21" i="1"/>
  <c r="BW5" i="1"/>
  <c r="BW3" i="1"/>
  <c r="BW29" i="1"/>
  <c r="CE17" i="1"/>
  <c r="CE26" i="1"/>
  <c r="CE9" i="1"/>
  <c r="CE10" i="1"/>
  <c r="CE13" i="1"/>
  <c r="CE24" i="1"/>
  <c r="CE2" i="1"/>
  <c r="CE30" i="1"/>
  <c r="CE19" i="1"/>
  <c r="CE32" i="1"/>
  <c r="CE29" i="1"/>
  <c r="CE33" i="1"/>
  <c r="CE20" i="1"/>
  <c r="CE15" i="1"/>
  <c r="CE12" i="1"/>
  <c r="CE23" i="1"/>
  <c r="CE5" i="1"/>
  <c r="CE16" i="1"/>
  <c r="CE22" i="1"/>
  <c r="CE18" i="1"/>
  <c r="CE7" i="1"/>
  <c r="CE35" i="1"/>
  <c r="CE34" i="1"/>
  <c r="CE11" i="1"/>
  <c r="CE25" i="1"/>
  <c r="CE21" i="1"/>
  <c r="CE8" i="1"/>
  <c r="CE31" i="1"/>
  <c r="CE28" i="1"/>
  <c r="CE6" i="1"/>
  <c r="CE27" i="1"/>
  <c r="CE4" i="1"/>
  <c r="CE3" i="1"/>
  <c r="CE14" i="1"/>
  <c r="AW25" i="1"/>
  <c r="DK25" i="1"/>
  <c r="AV25" i="1"/>
  <c r="AW28" i="1"/>
  <c r="DK28" i="1"/>
  <c r="AV28" i="1"/>
  <c r="AW10" i="1"/>
  <c r="DK10" i="1"/>
  <c r="AW22" i="1"/>
  <c r="DK22" i="1"/>
  <c r="AV22" i="1"/>
  <c r="AW7" i="1"/>
  <c r="DK7" i="1"/>
  <c r="AW8" i="1"/>
  <c r="DK8" i="1"/>
  <c r="CM18" i="1"/>
  <c r="CM4" i="1"/>
  <c r="CM5" i="1"/>
  <c r="CM8" i="1"/>
  <c r="CM32" i="1"/>
  <c r="CM33" i="1"/>
  <c r="CM15" i="1"/>
  <c r="CM7" i="1"/>
  <c r="CM11" i="1"/>
  <c r="CM34" i="1"/>
  <c r="CM2" i="1"/>
  <c r="CM29" i="1"/>
  <c r="CM22" i="1"/>
  <c r="CM26" i="1"/>
  <c r="CM24" i="1"/>
  <c r="CM31" i="1"/>
  <c r="CM19" i="1"/>
  <c r="CM10" i="1"/>
  <c r="CM30" i="1"/>
  <c r="CM23" i="1"/>
  <c r="CM17" i="1"/>
  <c r="CM13" i="1"/>
  <c r="CM21" i="1"/>
  <c r="CM6" i="1"/>
  <c r="CM16" i="1"/>
  <c r="CM25" i="1"/>
  <c r="CM9" i="1"/>
  <c r="CM14" i="1"/>
  <c r="CM35" i="1"/>
  <c r="CM12" i="1"/>
  <c r="CM27" i="1"/>
  <c r="CM28" i="1"/>
  <c r="CM3" i="1"/>
  <c r="CM20" i="1"/>
  <c r="DD11" i="1"/>
  <c r="DD5" i="1"/>
  <c r="DD34" i="1"/>
  <c r="DD32" i="1"/>
  <c r="DD12" i="1"/>
  <c r="DD17" i="1"/>
  <c r="DD14" i="1"/>
  <c r="DD22" i="1"/>
  <c r="DD8" i="1"/>
  <c r="DD13" i="1"/>
  <c r="DD31" i="1"/>
  <c r="DD20" i="1"/>
  <c r="DD19" i="1"/>
  <c r="DD25" i="1"/>
  <c r="DD7" i="1"/>
  <c r="DD35" i="1"/>
  <c r="DD4" i="1"/>
  <c r="DD2" i="1"/>
  <c r="DD28" i="1"/>
  <c r="DD24" i="1"/>
  <c r="DD27" i="1"/>
  <c r="DD10" i="1"/>
  <c r="DD9" i="1"/>
  <c r="DD33" i="1"/>
  <c r="DD15" i="1"/>
  <c r="DD26" i="1"/>
  <c r="DD16" i="1"/>
  <c r="DD6" i="1"/>
  <c r="DD18" i="1"/>
  <c r="DD29" i="1"/>
  <c r="DD30" i="1"/>
  <c r="DD23" i="1"/>
  <c r="DD3" i="1"/>
  <c r="DD21" i="1"/>
  <c r="DL27" i="1"/>
  <c r="DL33" i="1"/>
  <c r="DL31" i="1"/>
  <c r="DL6" i="1"/>
  <c r="DL19" i="1"/>
  <c r="DL11" i="1"/>
  <c r="DL28" i="1"/>
  <c r="DL26" i="1"/>
  <c r="DL25" i="1"/>
  <c r="DL9" i="1"/>
  <c r="DL2" i="1"/>
  <c r="DL13" i="1"/>
  <c r="DL24" i="1"/>
  <c r="DL12" i="1"/>
  <c r="DL7" i="1"/>
  <c r="DL22" i="1"/>
  <c r="DL15" i="1"/>
  <c r="DL5" i="1"/>
  <c r="DL4" i="1"/>
  <c r="DL10" i="1"/>
  <c r="DL14" i="1"/>
  <c r="DL30" i="1"/>
  <c r="DL17" i="1"/>
  <c r="DL29" i="1"/>
  <c r="DL23" i="1"/>
  <c r="DL18" i="1"/>
  <c r="DL32" i="1"/>
  <c r="DL34" i="1"/>
  <c r="DL20" i="1"/>
  <c r="DL21" i="1"/>
  <c r="DL8" i="1"/>
  <c r="DL16" i="1"/>
  <c r="DL3" i="1"/>
  <c r="DL35" i="1"/>
  <c r="DT22" i="1"/>
  <c r="DT13" i="1"/>
  <c r="DT15" i="1"/>
  <c r="DT6" i="1"/>
  <c r="DT2" i="1"/>
  <c r="DT20" i="1"/>
  <c r="DT10" i="1"/>
  <c r="DT19" i="1"/>
  <c r="DT35" i="1"/>
  <c r="DT28" i="1"/>
  <c r="DT26" i="1"/>
  <c r="DT16" i="1"/>
  <c r="DT11" i="1"/>
  <c r="DT24" i="1"/>
  <c r="DT23" i="1"/>
  <c r="DT17" i="1"/>
  <c r="DT8" i="1"/>
  <c r="DT34" i="1"/>
  <c r="DT33" i="1"/>
  <c r="DT14" i="1"/>
  <c r="DT12" i="1"/>
  <c r="DT9" i="1"/>
  <c r="DT32" i="1"/>
  <c r="DT21" i="1"/>
  <c r="DT4" i="1"/>
  <c r="DT30" i="1"/>
  <c r="DT27" i="1"/>
  <c r="DT29" i="1"/>
  <c r="DT5" i="1"/>
  <c r="DT7" i="1"/>
  <c r="DT31" i="1"/>
  <c r="DT25" i="1"/>
  <c r="DT3" i="1"/>
  <c r="DT18" i="1"/>
  <c r="AW2" i="1"/>
  <c r="DK2" i="1"/>
  <c r="CW9" i="1"/>
  <c r="CY9" i="1"/>
  <c r="CW34" i="1"/>
  <c r="CY34" i="1"/>
  <c r="CW30" i="1"/>
  <c r="CY30" i="1"/>
  <c r="BI4" i="1"/>
  <c r="BK4" i="1"/>
  <c r="EB24" i="1"/>
  <c r="EB9" i="1"/>
  <c r="EB25" i="1"/>
  <c r="EB14" i="1"/>
  <c r="EB15" i="1"/>
  <c r="EB16" i="1"/>
  <c r="EB33" i="1"/>
  <c r="EB12" i="1"/>
  <c r="EB19" i="1"/>
  <c r="EB22" i="1"/>
  <c r="EB20" i="1"/>
  <c r="EB4" i="1"/>
  <c r="EB5" i="1"/>
  <c r="EB26" i="1"/>
  <c r="EB17" i="1"/>
  <c r="EB34" i="1"/>
  <c r="EB29" i="1"/>
  <c r="EB13" i="1"/>
  <c r="EB27" i="1"/>
  <c r="EB35" i="1"/>
  <c r="EB28" i="1"/>
  <c r="EB7" i="1"/>
  <c r="EB23" i="1"/>
  <c r="EB21" i="1"/>
  <c r="EB30" i="1"/>
  <c r="EB18" i="1"/>
  <c r="EB10" i="1"/>
  <c r="EB6" i="1"/>
  <c r="EB31" i="1"/>
  <c r="EB11" i="1"/>
  <c r="EB2" i="1"/>
  <c r="EB32" i="1"/>
  <c r="EB3" i="1"/>
  <c r="EB8" i="1"/>
  <c r="BQ20" i="1"/>
  <c r="BQ5" i="1"/>
  <c r="BQ16" i="1"/>
  <c r="BQ17" i="1"/>
  <c r="BQ23" i="1"/>
  <c r="BQ7" i="1"/>
  <c r="BQ30" i="1"/>
  <c r="BQ21" i="1"/>
  <c r="BQ27" i="1"/>
  <c r="BQ12" i="1"/>
  <c r="BQ9" i="1"/>
  <c r="BQ19" i="1"/>
  <c r="BQ11" i="1"/>
  <c r="BQ33" i="1"/>
  <c r="BQ34" i="1"/>
  <c r="BQ32" i="1"/>
  <c r="BQ31" i="1"/>
  <c r="BQ35" i="1"/>
  <c r="BQ8" i="1"/>
  <c r="BQ28" i="1"/>
  <c r="BQ15" i="1"/>
  <c r="BQ29" i="1"/>
  <c r="BQ4" i="1"/>
  <c r="BQ26" i="1"/>
  <c r="BQ22" i="1"/>
  <c r="BQ10" i="1"/>
  <c r="BQ13" i="1"/>
  <c r="BQ6" i="1"/>
  <c r="BQ24" i="1"/>
  <c r="BQ14" i="1"/>
  <c r="BQ25" i="1"/>
  <c r="BQ2" i="1"/>
  <c r="BQ3" i="1"/>
  <c r="BQ18" i="1"/>
  <c r="AV17" i="1"/>
  <c r="DK17" i="1"/>
  <c r="AW17" i="1"/>
  <c r="CW14" i="1"/>
  <c r="CY14" i="1"/>
  <c r="BI2" i="1"/>
  <c r="BK2" i="1"/>
  <c r="CW33" i="1"/>
  <c r="CY33" i="1"/>
  <c r="BI30" i="1"/>
  <c r="BK30" i="1"/>
  <c r="BY10" i="1"/>
  <c r="BY15" i="1"/>
  <c r="BY18" i="1"/>
  <c r="BY6" i="1"/>
  <c r="BY35" i="1"/>
  <c r="BY2" i="1"/>
  <c r="BY30" i="1"/>
  <c r="BY4" i="1"/>
  <c r="BY31" i="1"/>
  <c r="BY34" i="1"/>
  <c r="BY21" i="1"/>
  <c r="BY25" i="1"/>
  <c r="BY29" i="1"/>
  <c r="BY16" i="1"/>
  <c r="BY14" i="1"/>
  <c r="BY19" i="1"/>
  <c r="BY9" i="1"/>
  <c r="BY7" i="1"/>
  <c r="BY20" i="1"/>
  <c r="BY32" i="1"/>
  <c r="BY23" i="1"/>
  <c r="BY33" i="1"/>
  <c r="BY13" i="1"/>
  <c r="BY12" i="1"/>
  <c r="BY8" i="1"/>
  <c r="BY28" i="1"/>
  <c r="BY26" i="1"/>
  <c r="BY24" i="1"/>
  <c r="BY27" i="1"/>
  <c r="BY22" i="1"/>
  <c r="BY17" i="1"/>
  <c r="BY11" i="1"/>
  <c r="BY3" i="1"/>
  <c r="BY5" i="1"/>
  <c r="CG13" i="1"/>
  <c r="CG25" i="1"/>
  <c r="CG11" i="1"/>
  <c r="CG15" i="1"/>
  <c r="CG17" i="1"/>
  <c r="CG16" i="1"/>
  <c r="CG20" i="1"/>
  <c r="CG26" i="1"/>
  <c r="CG7" i="1"/>
  <c r="CG6" i="1"/>
  <c r="CG32" i="1"/>
  <c r="CG2" i="1"/>
  <c r="CG21" i="1"/>
  <c r="CG5" i="1"/>
  <c r="CG18" i="1"/>
  <c r="CG22" i="1"/>
  <c r="CG33" i="1"/>
  <c r="CG4" i="1"/>
  <c r="CG30" i="1"/>
  <c r="CG12" i="1"/>
  <c r="CG19" i="1"/>
  <c r="CG28" i="1"/>
  <c r="CG29" i="1"/>
  <c r="CG23" i="1"/>
  <c r="CG9" i="1"/>
  <c r="CG31" i="1"/>
  <c r="CG14" i="1"/>
  <c r="CG27" i="1"/>
  <c r="CG35" i="1"/>
  <c r="CG24" i="1"/>
  <c r="CG10" i="1"/>
  <c r="CG8" i="1"/>
  <c r="CG3" i="1"/>
  <c r="CG34" i="1"/>
  <c r="CO19" i="1"/>
  <c r="CO23" i="1"/>
  <c r="CO28" i="1"/>
  <c r="CO14" i="1"/>
  <c r="CO33" i="1"/>
  <c r="CO27" i="1"/>
  <c r="CO35" i="1"/>
  <c r="CO7" i="1"/>
  <c r="CO10" i="1"/>
  <c r="CO6" i="1"/>
  <c r="CO20" i="1"/>
  <c r="CO16" i="1"/>
  <c r="CO21" i="1"/>
  <c r="CO22" i="1"/>
  <c r="CO31" i="1"/>
  <c r="CO25" i="1"/>
  <c r="CO34" i="1"/>
  <c r="CO32" i="1"/>
  <c r="CO4" i="1"/>
  <c r="CO13" i="1"/>
  <c r="CO9" i="1"/>
  <c r="CO17" i="1"/>
  <c r="CO30" i="1"/>
  <c r="CO5" i="1"/>
  <c r="CO12" i="1"/>
  <c r="CO8" i="1"/>
  <c r="CO26" i="1"/>
  <c r="CO24" i="1"/>
  <c r="CO15" i="1"/>
  <c r="CO2" i="1"/>
  <c r="CO29" i="1"/>
  <c r="CO18" i="1"/>
  <c r="CO3" i="1"/>
  <c r="CO11" i="1"/>
  <c r="DF27" i="1"/>
  <c r="DF16" i="1"/>
  <c r="DF32" i="1"/>
  <c r="DF19" i="1"/>
  <c r="DF12" i="1"/>
  <c r="DF9" i="1"/>
  <c r="DF23" i="1"/>
  <c r="DF34" i="1"/>
  <c r="DF20" i="1"/>
  <c r="DF5" i="1"/>
  <c r="DF13" i="1"/>
  <c r="DF30" i="1"/>
  <c r="DF28" i="1"/>
  <c r="DF17" i="1"/>
  <c r="DF6" i="1"/>
  <c r="DF18" i="1"/>
  <c r="DF35" i="1"/>
  <c r="DF33" i="1"/>
  <c r="DF29" i="1"/>
  <c r="DF2" i="1"/>
  <c r="DF14" i="1"/>
  <c r="DF31" i="1"/>
  <c r="DF15" i="1"/>
  <c r="DF7" i="1"/>
  <c r="DF8" i="1"/>
  <c r="DF22" i="1"/>
  <c r="DF24" i="1"/>
  <c r="DF11" i="1"/>
  <c r="DF10" i="1"/>
  <c r="DF4" i="1"/>
  <c r="DF21" i="1"/>
  <c r="DF25" i="1"/>
  <c r="DF3" i="1"/>
  <c r="DF26" i="1"/>
  <c r="DN16" i="1"/>
  <c r="DN17" i="1"/>
  <c r="DN9" i="1"/>
  <c r="DN23" i="1"/>
  <c r="DN13" i="1"/>
  <c r="DN34" i="1"/>
  <c r="DN6" i="1"/>
  <c r="DN14" i="1"/>
  <c r="DN32" i="1"/>
  <c r="DN2" i="1"/>
  <c r="DN29" i="1"/>
  <c r="DN28" i="1"/>
  <c r="DN4" i="1"/>
  <c r="DN27" i="1"/>
  <c r="DN5" i="1"/>
  <c r="DN24" i="1"/>
  <c r="DN8" i="1"/>
  <c r="DN21" i="1"/>
  <c r="DN19" i="1"/>
  <c r="DN22" i="1"/>
  <c r="DN35" i="1"/>
  <c r="DN7" i="1"/>
  <c r="DN33" i="1"/>
  <c r="DN30" i="1"/>
  <c r="DN10" i="1"/>
  <c r="DN25" i="1"/>
  <c r="DN20" i="1"/>
  <c r="DN12" i="1"/>
  <c r="DN31" i="1"/>
  <c r="DN15" i="1"/>
  <c r="DN11" i="1"/>
  <c r="DN26" i="1"/>
  <c r="DN3" i="1"/>
  <c r="DN18" i="1"/>
  <c r="DV20" i="1"/>
  <c r="DV22" i="1"/>
  <c r="DV25" i="1"/>
  <c r="DV7" i="1"/>
  <c r="DV13" i="1"/>
  <c r="DV9" i="1"/>
  <c r="DV2" i="1"/>
  <c r="DV4" i="1"/>
  <c r="DV8" i="1"/>
  <c r="DV21" i="1"/>
  <c r="DV17" i="1"/>
  <c r="DV34" i="1"/>
  <c r="DV29" i="1"/>
  <c r="DV10" i="1"/>
  <c r="DV30" i="1"/>
  <c r="DV23" i="1"/>
  <c r="DV31" i="1"/>
  <c r="DV24" i="1"/>
  <c r="DV16" i="1"/>
  <c r="DV18" i="1"/>
  <c r="DV5" i="1"/>
  <c r="DV28" i="1"/>
  <c r="DV32" i="1"/>
  <c r="DV26" i="1"/>
  <c r="DV15" i="1"/>
  <c r="DV14" i="1"/>
  <c r="DV19" i="1"/>
  <c r="DV12" i="1"/>
  <c r="DV11" i="1"/>
  <c r="DV33" i="1"/>
  <c r="DV27" i="1"/>
  <c r="DV35" i="1"/>
  <c r="DV3" i="1"/>
  <c r="DV6" i="1"/>
  <c r="ED35" i="1"/>
  <c r="ED16" i="1"/>
  <c r="ED31" i="1"/>
  <c r="ED10" i="1"/>
  <c r="ED9" i="1"/>
  <c r="ED29" i="1"/>
  <c r="ED8" i="1"/>
  <c r="ED33" i="1"/>
  <c r="ED25" i="1"/>
  <c r="ED12" i="1"/>
  <c r="ED4" i="1"/>
  <c r="ED34" i="1"/>
  <c r="ED19" i="1"/>
  <c r="ED18" i="1"/>
  <c r="ED30" i="1"/>
  <c r="ED2" i="1"/>
  <c r="ED13" i="1"/>
  <c r="ED15" i="1"/>
  <c r="ED17" i="1"/>
  <c r="ED28" i="1"/>
  <c r="ED32" i="1"/>
  <c r="ED7" i="1"/>
  <c r="ED22" i="1"/>
  <c r="ED26" i="1"/>
  <c r="ED14" i="1"/>
  <c r="ED11" i="1"/>
  <c r="ED27" i="1"/>
  <c r="ED20" i="1"/>
  <c r="ED5" i="1"/>
  <c r="ED23" i="1"/>
  <c r="ED24" i="1"/>
  <c r="ED6" i="1"/>
  <c r="ED3" i="1"/>
  <c r="ED21" i="1"/>
  <c r="AW16" i="1"/>
  <c r="DK16" i="1"/>
  <c r="BN25" i="1"/>
  <c r="BN28" i="1"/>
  <c r="BN13" i="1"/>
  <c r="BN31" i="1"/>
  <c r="BN24" i="1"/>
  <c r="BN18" i="1"/>
  <c r="BN9" i="1"/>
  <c r="BN19" i="1"/>
  <c r="BN27" i="1"/>
  <c r="BN14" i="1"/>
  <c r="BN5" i="1"/>
  <c r="BN35" i="1"/>
  <c r="BN7" i="1"/>
  <c r="BN21" i="1"/>
  <c r="BN6" i="1"/>
  <c r="BN33" i="1"/>
  <c r="BN15" i="1"/>
  <c r="BN10" i="1"/>
  <c r="BN26" i="1"/>
  <c r="BN22" i="1"/>
  <c r="BN34" i="1"/>
  <c r="BN29" i="1"/>
  <c r="BN20" i="1"/>
  <c r="BN23" i="1"/>
  <c r="BN17" i="1"/>
  <c r="BN32" i="1"/>
  <c r="BN12" i="1"/>
  <c r="BN2" i="1"/>
  <c r="BN11" i="1"/>
  <c r="BN8" i="1"/>
  <c r="BN4" i="1"/>
  <c r="BN30" i="1"/>
  <c r="BN3" i="1"/>
  <c r="BN16" i="1"/>
  <c r="BV6" i="1"/>
  <c r="BV31" i="1"/>
  <c r="BV30" i="1"/>
  <c r="BV19" i="1"/>
  <c r="BV8" i="1"/>
  <c r="BV7" i="1"/>
  <c r="BV13" i="1"/>
  <c r="BV17" i="1"/>
  <c r="BV14" i="1"/>
  <c r="BV11" i="1"/>
  <c r="BV27" i="1"/>
  <c r="BV24" i="1"/>
  <c r="BV25" i="1"/>
  <c r="BV18" i="1"/>
  <c r="BV16" i="1"/>
  <c r="BV4" i="1"/>
  <c r="BV35" i="1"/>
  <c r="BV26" i="1"/>
  <c r="BV12" i="1"/>
  <c r="BV28" i="1"/>
  <c r="BV34" i="1"/>
  <c r="BV2" i="1"/>
  <c r="BV22" i="1"/>
  <c r="BV9" i="1"/>
  <c r="BV5" i="1"/>
  <c r="BV33" i="1"/>
  <c r="BV23" i="1"/>
  <c r="BV21" i="1"/>
  <c r="BV20" i="1"/>
  <c r="BV29" i="1"/>
  <c r="BV32" i="1"/>
  <c r="BV15" i="1"/>
  <c r="BV3" i="1"/>
  <c r="BV10" i="1"/>
  <c r="CD25" i="1"/>
  <c r="CD8" i="1"/>
  <c r="CD22" i="1"/>
  <c r="CD34" i="1"/>
  <c r="CD5" i="1"/>
  <c r="CD13" i="1"/>
  <c r="CD16" i="1"/>
  <c r="CD32" i="1"/>
  <c r="CD29" i="1"/>
  <c r="CD33" i="1"/>
  <c r="CD31" i="1"/>
  <c r="CD30" i="1"/>
  <c r="CD14" i="1"/>
  <c r="CD9" i="1"/>
  <c r="CD20" i="1"/>
  <c r="CD17" i="1"/>
  <c r="CD28" i="1"/>
  <c r="CD10" i="1"/>
  <c r="CD21" i="1"/>
  <c r="CD7" i="1"/>
  <c r="CD4" i="1"/>
  <c r="CD15" i="1"/>
  <c r="CD6" i="1"/>
  <c r="CD19" i="1"/>
  <c r="CD12" i="1"/>
  <c r="CD35" i="1"/>
  <c r="CD24" i="1"/>
  <c r="CD26" i="1"/>
  <c r="CD23" i="1"/>
  <c r="CD11" i="1"/>
  <c r="CD18" i="1"/>
  <c r="CD2" i="1"/>
  <c r="CD3" i="1"/>
  <c r="CD27" i="1"/>
  <c r="CL13" i="1"/>
  <c r="CL6" i="1"/>
  <c r="CL30" i="1"/>
  <c r="CL32" i="1"/>
  <c r="CL15" i="1"/>
  <c r="CL8" i="1"/>
  <c r="CL20" i="1"/>
  <c r="CL18" i="1"/>
  <c r="CL23" i="1"/>
  <c r="CL14" i="1"/>
  <c r="CL16" i="1"/>
  <c r="CL10" i="1"/>
  <c r="CL11" i="1"/>
  <c r="CL29" i="1"/>
  <c r="CL22" i="1"/>
  <c r="CL25" i="1"/>
  <c r="CL33" i="1"/>
  <c r="CL19" i="1"/>
  <c r="CL35" i="1"/>
  <c r="CL26" i="1"/>
  <c r="CL27" i="1"/>
  <c r="CL9" i="1"/>
  <c r="CL31" i="1"/>
  <c r="CL34" i="1"/>
  <c r="CL17" i="1"/>
  <c r="CL21" i="1"/>
  <c r="CL2" i="1"/>
  <c r="CL7" i="1"/>
  <c r="CL12" i="1"/>
  <c r="CL4" i="1"/>
  <c r="CL5" i="1"/>
  <c r="CL28" i="1"/>
  <c r="CL3" i="1"/>
  <c r="CL24" i="1"/>
  <c r="CT24" i="1"/>
  <c r="CT17" i="1"/>
  <c r="CT13" i="1"/>
  <c r="CT19" i="1"/>
  <c r="CT10" i="1"/>
  <c r="CT21" i="1"/>
  <c r="CT29" i="1"/>
  <c r="CT22" i="1"/>
  <c r="CT4" i="1"/>
  <c r="CT25" i="1"/>
  <c r="CT11" i="1"/>
  <c r="CT6" i="1"/>
  <c r="CT26" i="1"/>
  <c r="CT27" i="1"/>
  <c r="CT7" i="1"/>
  <c r="CT30" i="1"/>
  <c r="CT2" i="1"/>
  <c r="CT28" i="1"/>
  <c r="CT35" i="1"/>
  <c r="CT18" i="1"/>
  <c r="CT5" i="1"/>
  <c r="CT33" i="1"/>
  <c r="CT32" i="1"/>
  <c r="CT12" i="1"/>
  <c r="CT8" i="1"/>
  <c r="CT14" i="1"/>
  <c r="CT23" i="1"/>
  <c r="CT34" i="1"/>
  <c r="CT20" i="1"/>
  <c r="CT15" i="1"/>
  <c r="CT16" i="1"/>
  <c r="CT31" i="1"/>
  <c r="CT3" i="1"/>
  <c r="CT9" i="1"/>
  <c r="DC14" i="1"/>
  <c r="DC25" i="1"/>
  <c r="DC2" i="1"/>
  <c r="DC7" i="1"/>
  <c r="DC15" i="1"/>
  <c r="DC5" i="1"/>
  <c r="DC23" i="1"/>
  <c r="DC9" i="1"/>
  <c r="DC30" i="1"/>
  <c r="DC34" i="1"/>
  <c r="DC18" i="1"/>
  <c r="DC22" i="1"/>
  <c r="DC10" i="1"/>
  <c r="DC24" i="1"/>
  <c r="DC29" i="1"/>
  <c r="DC27" i="1"/>
  <c r="DC26" i="1"/>
  <c r="DC31" i="1"/>
  <c r="DC35" i="1"/>
  <c r="DC32" i="1"/>
  <c r="DC20" i="1"/>
  <c r="DC11" i="1"/>
  <c r="DC16" i="1"/>
  <c r="DC28" i="1"/>
  <c r="DC21" i="1"/>
  <c r="DC8" i="1"/>
  <c r="DC19" i="1"/>
  <c r="DC17" i="1"/>
  <c r="DC6" i="1"/>
  <c r="DC13" i="1"/>
  <c r="DC33" i="1"/>
  <c r="DC4" i="1"/>
  <c r="DC3" i="1"/>
  <c r="DC12" i="1"/>
  <c r="AW27" i="1"/>
  <c r="DK27" i="1"/>
  <c r="AV27" i="1"/>
  <c r="BI26" i="1"/>
  <c r="BK26" i="1"/>
  <c r="BI27" i="1"/>
  <c r="BK27" i="1"/>
  <c r="AW13" i="1"/>
  <c r="DK13" i="1"/>
  <c r="AV19" i="1"/>
  <c r="DK19" i="1"/>
  <c r="AW19" i="1"/>
  <c r="BI32" i="1"/>
  <c r="BK32" i="1"/>
  <c r="CW6" i="1"/>
  <c r="CY6" i="1"/>
  <c r="BI21" i="1"/>
  <c r="BK21" i="1"/>
  <c r="AW29" i="1"/>
  <c r="DK29" i="1"/>
  <c r="AV29" i="1"/>
  <c r="BI23" i="1"/>
  <c r="BK23" i="1"/>
  <c r="AV24" i="1"/>
  <c r="DK24" i="1"/>
  <c r="AW24" i="1"/>
  <c r="CW15" i="1"/>
  <c r="CY15" i="1"/>
  <c r="BI10" i="1"/>
  <c r="BK10" i="1"/>
  <c r="DS4" i="1"/>
  <c r="DS19" i="1"/>
  <c r="DS16" i="1"/>
  <c r="DS22" i="1"/>
  <c r="DS21" i="1"/>
  <c r="DS20" i="1"/>
  <c r="DS2" i="1"/>
  <c r="DS33" i="1"/>
  <c r="DS10" i="1"/>
  <c r="DS8" i="1"/>
  <c r="DS17" i="1"/>
  <c r="DS15" i="1"/>
  <c r="DS26" i="1"/>
  <c r="DS14" i="1"/>
  <c r="DS30" i="1"/>
  <c r="DS7" i="1"/>
  <c r="DS27" i="1"/>
  <c r="DS6" i="1"/>
  <c r="DS11" i="1"/>
  <c r="DS13" i="1"/>
  <c r="DS31" i="1"/>
  <c r="DS12" i="1"/>
  <c r="DS32" i="1"/>
  <c r="DS34" i="1"/>
  <c r="DS9" i="1"/>
  <c r="DS24" i="1"/>
  <c r="DS29" i="1"/>
  <c r="DS28" i="1"/>
  <c r="DS23" i="1"/>
  <c r="DS5" i="1"/>
  <c r="DS35" i="1"/>
  <c r="DS18" i="1"/>
  <c r="DS3" i="1"/>
  <c r="DS25" i="1"/>
  <c r="BI3" i="1"/>
  <c r="BK22" i="1"/>
  <c r="BI22" i="1"/>
  <c r="BK33" i="1"/>
  <c r="BI33" i="1"/>
  <c r="BK19" i="1"/>
  <c r="BI19" i="1"/>
  <c r="EA5" i="1"/>
  <c r="EA35" i="1"/>
  <c r="EA2" i="1"/>
  <c r="EA33" i="1"/>
  <c r="EA8" i="1"/>
  <c r="EA6" i="1"/>
  <c r="EA15" i="1"/>
  <c r="EA12" i="1"/>
  <c r="EA34" i="1"/>
  <c r="EA29" i="1"/>
  <c r="EA20" i="1"/>
  <c r="EA24" i="1"/>
  <c r="EA21" i="1"/>
  <c r="EA7" i="1"/>
  <c r="EA11" i="1"/>
  <c r="EA17" i="1"/>
  <c r="EA23" i="1"/>
  <c r="EA26" i="1"/>
  <c r="EA10" i="1"/>
  <c r="EA13" i="1"/>
  <c r="EA19" i="1"/>
  <c r="EA16" i="1"/>
  <c r="EA4" i="1"/>
  <c r="EA27" i="1"/>
  <c r="EA28" i="1"/>
  <c r="EA14" i="1"/>
  <c r="EA18" i="1"/>
  <c r="EA30" i="1"/>
  <c r="EA25" i="1"/>
  <c r="EA31" i="1"/>
  <c r="EA22" i="1"/>
  <c r="EA9" i="1"/>
  <c r="EA3" i="1"/>
  <c r="EA32" i="1"/>
  <c r="BS27" i="1"/>
  <c r="BS23" i="1"/>
  <c r="BS30" i="1"/>
  <c r="BS5" i="1"/>
  <c r="BS29" i="1"/>
  <c r="BS16" i="1"/>
  <c r="BS19" i="1"/>
  <c r="BS12" i="1"/>
  <c r="BS17" i="1"/>
  <c r="BS9" i="1"/>
  <c r="BS10" i="1"/>
  <c r="BS4" i="1"/>
  <c r="BS6" i="1"/>
  <c r="BS14" i="1"/>
  <c r="BS13" i="1"/>
  <c r="BS25" i="1"/>
  <c r="BS31" i="1"/>
  <c r="BS18" i="1"/>
  <c r="BS34" i="1"/>
  <c r="BS2" i="1"/>
  <c r="BS21" i="1"/>
  <c r="BS20" i="1"/>
  <c r="BS11" i="1"/>
  <c r="BS22" i="1"/>
  <c r="BS7" i="1"/>
  <c r="BS15" i="1"/>
  <c r="BS28" i="1"/>
  <c r="BS35" i="1"/>
  <c r="BS33" i="1"/>
  <c r="BS26" i="1"/>
  <c r="BS8" i="1"/>
  <c r="BS32" i="1"/>
  <c r="BS3" i="1"/>
  <c r="BS24" i="1"/>
  <c r="CA28" i="1"/>
  <c r="CA21" i="1"/>
  <c r="CA19" i="1"/>
  <c r="CA20" i="1"/>
  <c r="CA32" i="1"/>
  <c r="CA5" i="1"/>
  <c r="CA27" i="1"/>
  <c r="CA18" i="1"/>
  <c r="CA23" i="1"/>
  <c r="CA33" i="1"/>
  <c r="CA11" i="1"/>
  <c r="CA13" i="1"/>
  <c r="CA25" i="1"/>
  <c r="CA10" i="1"/>
  <c r="CA17" i="1"/>
  <c r="CA7" i="1"/>
  <c r="CA24" i="1"/>
  <c r="CA14" i="1"/>
  <c r="CA12" i="1"/>
  <c r="CA8" i="1"/>
  <c r="CA9" i="1"/>
  <c r="CA16" i="1"/>
  <c r="CA35" i="1"/>
  <c r="CA22" i="1"/>
  <c r="CA6" i="1"/>
  <c r="CA31" i="1"/>
  <c r="CA34" i="1"/>
  <c r="CA29" i="1"/>
  <c r="CA2" i="1"/>
  <c r="CA4" i="1"/>
  <c r="CA30" i="1"/>
  <c r="CA26" i="1"/>
  <c r="CA3" i="1"/>
  <c r="CA15" i="1"/>
  <c r="CI19" i="1"/>
  <c r="CI25" i="1"/>
  <c r="CI33" i="1"/>
  <c r="CI14" i="1"/>
  <c r="CI24" i="1"/>
  <c r="CI15" i="1"/>
  <c r="CI16" i="1"/>
  <c r="CI30" i="1"/>
  <c r="CI21" i="1"/>
  <c r="CI31" i="1"/>
  <c r="CI11" i="1"/>
  <c r="CI9" i="1"/>
  <c r="CI22" i="1"/>
  <c r="CI12" i="1"/>
  <c r="CI2" i="1"/>
  <c r="CI28" i="1"/>
  <c r="CI29" i="1"/>
  <c r="CI17" i="1"/>
  <c r="CI26" i="1"/>
  <c r="CI20" i="1"/>
  <c r="CI8" i="1"/>
  <c r="CI35" i="1"/>
  <c r="CI18" i="1"/>
  <c r="CI32" i="1"/>
  <c r="CI27" i="1"/>
  <c r="CI10" i="1"/>
  <c r="CI6" i="1"/>
  <c r="CI5" i="1"/>
  <c r="CI13" i="1"/>
  <c r="CI7" i="1"/>
  <c r="CI34" i="1"/>
  <c r="CI23" i="1"/>
  <c r="CI3" i="1"/>
  <c r="CI4" i="1"/>
  <c r="CQ33" i="1"/>
  <c r="CQ31" i="1"/>
  <c r="CQ7" i="1"/>
  <c r="CQ22" i="1"/>
  <c r="CQ19" i="1"/>
  <c r="CQ13" i="1"/>
  <c r="CQ27" i="1"/>
  <c r="CQ10" i="1"/>
  <c r="CQ18" i="1"/>
  <c r="CQ14" i="1"/>
  <c r="CQ30" i="1"/>
  <c r="CQ24" i="1"/>
  <c r="CQ11" i="1"/>
  <c r="CQ16" i="1"/>
  <c r="CQ21" i="1"/>
  <c r="CQ32" i="1"/>
  <c r="CQ23" i="1"/>
  <c r="CQ8" i="1"/>
  <c r="CQ9" i="1"/>
  <c r="CQ5" i="1"/>
  <c r="CQ28" i="1"/>
  <c r="CQ17" i="1"/>
  <c r="CQ29" i="1"/>
  <c r="CQ25" i="1"/>
  <c r="CQ35" i="1"/>
  <c r="CQ34" i="1"/>
  <c r="CQ26" i="1"/>
  <c r="CQ12" i="1"/>
  <c r="CQ4" i="1"/>
  <c r="CQ2" i="1"/>
  <c r="CQ20" i="1"/>
  <c r="CQ15" i="1"/>
  <c r="CQ3" i="1"/>
  <c r="CQ6" i="1"/>
  <c r="CZ26" i="1"/>
  <c r="CZ7" i="1"/>
  <c r="CZ22" i="1"/>
  <c r="CZ18" i="1"/>
  <c r="CZ5" i="1"/>
  <c r="CZ28" i="1"/>
  <c r="CZ20" i="1"/>
  <c r="CZ34" i="1"/>
  <c r="CZ14" i="1"/>
  <c r="CZ35" i="1"/>
  <c r="CZ27" i="1"/>
  <c r="CZ25" i="1"/>
  <c r="CZ29" i="1"/>
  <c r="CZ15" i="1"/>
  <c r="CZ21" i="1"/>
  <c r="CZ6" i="1"/>
  <c r="CZ11" i="1"/>
  <c r="CZ16" i="1"/>
  <c r="CZ33" i="1"/>
  <c r="CZ9" i="1"/>
  <c r="CZ23" i="1"/>
  <c r="CZ24" i="1"/>
  <c r="CZ30" i="1"/>
  <c r="CZ32" i="1"/>
  <c r="CZ19" i="1"/>
  <c r="CZ12" i="1"/>
  <c r="CZ2" i="1"/>
  <c r="CZ13" i="1"/>
  <c r="CZ17" i="1"/>
  <c r="CZ31" i="1"/>
  <c r="CZ10" i="1"/>
  <c r="CZ8" i="1"/>
  <c r="CZ3" i="1"/>
  <c r="CZ4" i="1"/>
  <c r="DH30" i="1"/>
  <c r="DH4" i="1"/>
  <c r="DH8" i="1"/>
  <c r="DH20" i="1"/>
  <c r="DH13" i="1"/>
  <c r="DH22" i="1"/>
  <c r="DH16" i="1"/>
  <c r="DH31" i="1"/>
  <c r="DH12" i="1"/>
  <c r="DH17" i="1"/>
  <c r="DH11" i="1"/>
  <c r="DH34" i="1"/>
  <c r="DH26" i="1"/>
  <c r="DH27" i="1"/>
  <c r="DH9" i="1"/>
  <c r="DH28" i="1"/>
  <c r="DH32" i="1"/>
  <c r="DH33" i="1"/>
  <c r="DH35" i="1"/>
  <c r="DH25" i="1"/>
  <c r="DH5" i="1"/>
  <c r="DH23" i="1"/>
  <c r="DH14" i="1"/>
  <c r="DH24" i="1"/>
  <c r="DH15" i="1"/>
  <c r="DH21" i="1"/>
  <c r="DH18" i="1"/>
  <c r="DH10" i="1"/>
  <c r="DH19" i="1"/>
  <c r="DH7" i="1"/>
  <c r="DH29" i="1"/>
  <c r="DH6" i="1"/>
  <c r="DH3" i="1"/>
  <c r="DH2" i="1"/>
  <c r="CW13" i="1"/>
  <c r="CY13" i="1"/>
  <c r="BK3" i="1"/>
  <c r="BK14" i="1"/>
  <c r="BI14" i="1"/>
  <c r="DP27" i="1"/>
  <c r="DP26" i="1"/>
  <c r="DP28" i="1"/>
  <c r="DP2" i="1"/>
  <c r="DP17" i="1"/>
  <c r="DP34" i="1"/>
  <c r="DP12" i="1"/>
  <c r="DP35" i="1"/>
  <c r="DP8" i="1"/>
  <c r="DP9" i="1"/>
  <c r="DP25" i="1"/>
  <c r="DP6" i="1"/>
  <c r="DP14" i="1"/>
  <c r="DP22" i="1"/>
  <c r="DP15" i="1"/>
  <c r="DP18" i="1"/>
  <c r="DP31" i="1"/>
  <c r="DP5" i="1"/>
  <c r="DP20" i="1"/>
  <c r="DP19" i="1"/>
  <c r="DP13" i="1"/>
  <c r="DP4" i="1"/>
  <c r="DP11" i="1"/>
  <c r="DP29" i="1"/>
  <c r="DP21" i="1"/>
  <c r="DP10" i="1"/>
  <c r="DP30" i="1"/>
  <c r="DP32" i="1"/>
  <c r="DP23" i="1"/>
  <c r="DP7" i="1"/>
  <c r="DP24" i="1"/>
  <c r="DP33" i="1"/>
  <c r="DP3" i="1"/>
  <c r="DP16" i="1"/>
  <c r="DX34" i="1"/>
  <c r="DX26" i="1"/>
  <c r="DX14" i="1"/>
  <c r="DX13" i="1"/>
  <c r="DX15" i="1"/>
  <c r="DX2" i="1"/>
  <c r="DX17" i="1"/>
  <c r="DX5" i="1"/>
  <c r="DX31" i="1"/>
  <c r="DX9" i="1"/>
  <c r="DX35" i="1"/>
  <c r="DX18" i="1"/>
  <c r="DX21" i="1"/>
  <c r="DX19" i="1"/>
  <c r="DX24" i="1"/>
  <c r="DX12" i="1"/>
  <c r="DX6" i="1"/>
  <c r="DX25" i="1"/>
  <c r="DX4" i="1"/>
  <c r="DX8" i="1"/>
  <c r="DX27" i="1"/>
  <c r="DX32" i="1"/>
  <c r="DX11" i="1"/>
  <c r="DX7" i="1"/>
  <c r="DX30" i="1"/>
  <c r="DX22" i="1"/>
  <c r="DX16" i="1"/>
  <c r="DX10" i="1"/>
  <c r="DX23" i="1"/>
  <c r="DX33" i="1"/>
  <c r="DX28" i="1"/>
  <c r="DX20" i="1"/>
  <c r="DX3" i="1"/>
  <c r="DX29" i="1"/>
  <c r="EF32" i="1"/>
  <c r="EF33" i="1"/>
  <c r="EF12" i="1"/>
  <c r="EF28" i="1"/>
  <c r="EF2" i="1"/>
  <c r="EF18" i="1"/>
  <c r="EF23" i="1"/>
  <c r="EF13" i="1"/>
  <c r="EF35" i="1"/>
  <c r="EF26" i="1"/>
  <c r="EF27" i="1"/>
  <c r="EF21" i="1"/>
  <c r="EF5" i="1"/>
  <c r="EF17" i="1"/>
  <c r="EF11" i="1"/>
  <c r="EF15" i="1"/>
  <c r="EF25" i="1"/>
  <c r="EF14" i="1"/>
  <c r="EF4" i="1"/>
  <c r="EF30" i="1"/>
  <c r="EF20" i="1"/>
  <c r="EF7" i="1"/>
  <c r="EF6" i="1"/>
  <c r="EF19" i="1"/>
  <c r="EF9" i="1"/>
  <c r="EF10" i="1"/>
  <c r="EF16" i="1"/>
  <c r="EF8" i="1"/>
  <c r="EF24" i="1"/>
  <c r="EF22" i="1"/>
  <c r="EF31" i="1"/>
  <c r="EF34" i="1"/>
  <c r="EF3" i="1"/>
  <c r="EF29" i="1"/>
  <c r="BP25" i="1"/>
  <c r="BP14" i="1"/>
  <c r="BP11" i="1"/>
  <c r="BP27" i="1"/>
  <c r="BP24" i="1"/>
  <c r="BP6" i="1"/>
  <c r="BP30" i="1"/>
  <c r="BP23" i="1"/>
  <c r="BP12" i="1"/>
  <c r="BP8" i="1"/>
  <c r="BP18" i="1"/>
  <c r="BP16" i="1"/>
  <c r="BP35" i="1"/>
  <c r="BP28" i="1"/>
  <c r="BP34" i="1"/>
  <c r="BP32" i="1"/>
  <c r="BP31" i="1"/>
  <c r="BP4" i="1"/>
  <c r="BP9" i="1"/>
  <c r="BP26" i="1"/>
  <c r="BP33" i="1"/>
  <c r="BP7" i="1"/>
  <c r="BP29" i="1"/>
  <c r="BP19" i="1"/>
  <c r="BP17" i="1"/>
  <c r="BP21" i="1"/>
  <c r="BP22" i="1"/>
  <c r="BP10" i="1"/>
  <c r="BP5" i="1"/>
  <c r="BP20" i="1"/>
  <c r="BP15" i="1"/>
  <c r="BP13" i="1"/>
  <c r="BP3" i="1"/>
  <c r="BP2" i="1"/>
  <c r="BX20" i="1"/>
  <c r="BX8" i="1"/>
  <c r="BX15" i="1"/>
  <c r="BX25" i="1"/>
  <c r="BX22" i="1"/>
  <c r="BX23" i="1"/>
  <c r="BX26" i="1"/>
  <c r="BX5" i="1"/>
  <c r="BX24" i="1"/>
  <c r="BX21" i="1"/>
  <c r="BX11" i="1"/>
  <c r="BX6" i="1"/>
  <c r="BX34" i="1"/>
  <c r="BX28" i="1"/>
  <c r="BX2" i="1"/>
  <c r="BX4" i="1"/>
  <c r="BX31" i="1"/>
  <c r="BX14" i="1"/>
  <c r="BX35" i="1"/>
  <c r="BX7" i="1"/>
  <c r="BX18" i="1"/>
  <c r="BX29" i="1"/>
  <c r="BX16" i="1"/>
  <c r="BX32" i="1"/>
  <c r="BX33" i="1"/>
  <c r="BX30" i="1"/>
  <c r="BX27" i="1"/>
  <c r="BX13" i="1"/>
  <c r="BX19" i="1"/>
  <c r="BX9" i="1"/>
  <c r="BX10" i="1"/>
  <c r="BX17" i="1"/>
  <c r="BX3" i="1"/>
  <c r="BX12" i="1"/>
  <c r="CF34" i="1"/>
  <c r="CF10" i="1"/>
  <c r="CF4" i="1"/>
  <c r="CF7" i="1"/>
  <c r="CF17" i="1"/>
  <c r="CF32" i="1"/>
  <c r="CF30" i="1"/>
  <c r="CF25" i="1"/>
  <c r="CF22" i="1"/>
  <c r="CF33" i="1"/>
  <c r="CF2" i="1"/>
  <c r="CF8" i="1"/>
  <c r="CF19" i="1"/>
  <c r="CF16" i="1"/>
  <c r="CF11" i="1"/>
  <c r="CF23" i="1"/>
  <c r="CF29" i="1"/>
  <c r="CF24" i="1"/>
  <c r="CF26" i="1"/>
  <c r="CF6" i="1"/>
  <c r="CF12" i="1"/>
  <c r="CF5" i="1"/>
  <c r="CF31" i="1"/>
  <c r="CF18" i="1"/>
  <c r="CF14" i="1"/>
  <c r="CF20" i="1"/>
  <c r="CF15" i="1"/>
  <c r="CF9" i="1"/>
  <c r="CF35" i="1"/>
  <c r="CF27" i="1"/>
  <c r="CF21" i="1"/>
  <c r="CF28" i="1"/>
  <c r="CF3" i="1"/>
  <c r="CF13" i="1"/>
  <c r="CN11" i="1"/>
  <c r="CN6" i="1"/>
  <c r="CN30" i="1"/>
  <c r="CN17" i="1"/>
  <c r="CN32" i="1"/>
  <c r="CN14" i="1"/>
  <c r="CN5" i="1"/>
  <c r="CN22" i="1"/>
  <c r="CN31" i="1"/>
  <c r="CN16" i="1"/>
  <c r="CN25" i="1"/>
  <c r="CN28" i="1"/>
  <c r="CN34" i="1"/>
  <c r="CN26" i="1"/>
  <c r="CN4" i="1"/>
  <c r="CN12" i="1"/>
  <c r="CN20" i="1"/>
  <c r="CN8" i="1"/>
  <c r="CN19" i="1"/>
  <c r="CN29" i="1"/>
  <c r="CN33" i="1"/>
  <c r="CN13" i="1"/>
  <c r="CN15" i="1"/>
  <c r="CN2" i="1"/>
  <c r="CN23" i="1"/>
  <c r="CN18" i="1"/>
  <c r="CN9" i="1"/>
  <c r="CN24" i="1"/>
  <c r="CN10" i="1"/>
  <c r="CN7" i="1"/>
  <c r="CN35" i="1"/>
  <c r="CN21" i="1"/>
  <c r="CN3" i="1"/>
  <c r="CN27" i="1"/>
  <c r="CW19" i="1"/>
  <c r="CY19" i="1"/>
  <c r="AW33" i="1"/>
  <c r="DK33" i="1"/>
  <c r="AV33" i="1"/>
  <c r="CW3" i="1"/>
  <c r="DM12" i="1"/>
  <c r="DM4" i="1"/>
  <c r="DM20" i="1"/>
  <c r="DM18" i="1"/>
  <c r="DM17" i="1"/>
  <c r="DM5" i="1"/>
  <c r="DM19" i="1"/>
  <c r="DM10" i="1"/>
  <c r="DM30" i="1"/>
  <c r="DM16" i="1"/>
  <c r="DM23" i="1"/>
  <c r="DM15" i="1"/>
  <c r="DM2" i="1"/>
  <c r="DM31" i="1"/>
  <c r="DM9" i="1"/>
  <c r="DM29" i="1"/>
  <c r="DM8" i="1"/>
  <c r="DM6" i="1"/>
  <c r="DM32" i="1"/>
  <c r="DM22" i="1"/>
  <c r="DM33" i="1"/>
  <c r="DM26" i="1"/>
  <c r="DM11" i="1"/>
  <c r="DM25" i="1"/>
  <c r="DM14" i="1"/>
  <c r="DM7" i="1"/>
  <c r="DM27" i="1"/>
  <c r="DM21" i="1"/>
  <c r="DM28" i="1"/>
  <c r="DM24" i="1"/>
  <c r="DM13" i="1"/>
  <c r="DM35" i="1"/>
  <c r="DM3" i="1"/>
  <c r="DM34" i="1"/>
  <c r="DU7" i="1"/>
  <c r="DU14" i="1"/>
  <c r="DU24" i="1"/>
  <c r="DU2" i="1"/>
  <c r="DU26" i="1"/>
  <c r="DU29" i="1"/>
  <c r="DU33" i="1"/>
  <c r="DU4" i="1"/>
  <c r="DU19" i="1"/>
  <c r="DU23" i="1"/>
  <c r="DU21" i="1"/>
  <c r="DU31" i="1"/>
  <c r="DU20" i="1"/>
  <c r="DU11" i="1"/>
  <c r="DU15" i="1"/>
  <c r="DU9" i="1"/>
  <c r="DU10" i="1"/>
  <c r="DU12" i="1"/>
  <c r="DU6" i="1"/>
  <c r="DU13" i="1"/>
  <c r="DU28" i="1"/>
  <c r="DU30" i="1"/>
  <c r="DU27" i="1"/>
  <c r="DU35" i="1"/>
  <c r="DU17" i="1"/>
  <c r="DU34" i="1"/>
  <c r="DU25" i="1"/>
  <c r="DU8" i="1"/>
  <c r="DU16" i="1"/>
  <c r="DU32" i="1"/>
  <c r="DU18" i="1"/>
  <c r="DU5" i="1"/>
  <c r="DU3" i="1"/>
  <c r="DU22" i="1"/>
  <c r="CY7" i="1"/>
  <c r="CW7" i="1"/>
  <c r="AW3" i="1"/>
  <c r="DE28" i="1"/>
  <c r="DE8" i="1"/>
  <c r="DE7" i="1"/>
  <c r="DE24" i="1"/>
  <c r="DE26" i="1"/>
  <c r="DE17" i="1"/>
  <c r="DE9" i="1"/>
  <c r="DE22" i="1"/>
  <c r="DE10" i="1"/>
  <c r="DE16" i="1"/>
  <c r="DE27" i="1"/>
  <c r="DE12" i="1"/>
  <c r="DE11" i="1"/>
  <c r="DE21" i="1"/>
  <c r="DE19" i="1"/>
  <c r="DE4" i="1"/>
  <c r="DE23" i="1"/>
  <c r="DE13" i="1"/>
  <c r="DE35" i="1"/>
  <c r="DE15" i="1"/>
  <c r="DE2" i="1"/>
  <c r="DE30" i="1"/>
  <c r="DE33" i="1"/>
  <c r="DE5" i="1"/>
  <c r="DE29" i="1"/>
  <c r="DE20" i="1"/>
  <c r="DE25" i="1"/>
  <c r="DE32" i="1"/>
  <c r="DE31" i="1"/>
  <c r="DE18" i="1"/>
  <c r="DE14" i="1"/>
  <c r="DE6" i="1"/>
  <c r="DE3" i="1"/>
  <c r="DE34" i="1"/>
  <c r="CY3" i="1"/>
  <c r="CY20" i="1"/>
  <c r="CW20" i="1"/>
  <c r="EC4" i="1"/>
  <c r="EC11" i="1"/>
  <c r="EC18" i="1"/>
  <c r="EC33" i="1"/>
  <c r="EC8" i="1"/>
  <c r="EC17" i="1"/>
  <c r="EC10" i="1"/>
  <c r="EC29" i="1"/>
  <c r="EC19" i="1"/>
  <c r="EC14" i="1"/>
  <c r="EC5" i="1"/>
  <c r="EC31" i="1"/>
  <c r="EC9" i="1"/>
  <c r="EC34" i="1"/>
  <c r="EC7" i="1"/>
  <c r="EC28" i="1"/>
  <c r="EC2" i="1"/>
  <c r="EC23" i="1"/>
  <c r="EC15" i="1"/>
  <c r="EC32" i="1"/>
  <c r="EC26" i="1"/>
  <c r="EC13" i="1"/>
  <c r="EC20" i="1"/>
  <c r="EC35" i="1"/>
  <c r="EC22" i="1"/>
  <c r="EC30" i="1"/>
  <c r="EC24" i="1"/>
  <c r="EC25" i="1"/>
  <c r="EC6" i="1"/>
  <c r="EC16" i="1"/>
  <c r="EC21" i="1"/>
  <c r="EC27" i="1"/>
  <c r="EC3" i="1"/>
  <c r="EC12" i="1"/>
  <c r="DK3" i="1"/>
  <c r="DK14" i="1"/>
  <c r="AW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<sst xmlns="http://schemas.openxmlformats.org/spreadsheetml/2006/main" count="415" uniqueCount="265">
  <si>
    <t>N° B.C.</t>
  </si>
  <si>
    <t>Code d'imputation</t>
  </si>
  <si>
    <t>Responsable Travaux</t>
  </si>
  <si>
    <t>Responsable d'exécution</t>
  </si>
  <si>
    <t>Conducteur de travaux</t>
  </si>
  <si>
    <t>Type</t>
  </si>
  <si>
    <t>Date d'accord (Ordre de service ou signature du devis)</t>
  </si>
  <si>
    <t>Nom du client</t>
  </si>
  <si>
    <t>Nom du chantier</t>
  </si>
  <si>
    <t>CA Vendu initial (€)</t>
  </si>
  <si>
    <t>Marge Vendue Initiale (€)</t>
  </si>
  <si>
    <t>Marge Vendue Initiale (%)</t>
  </si>
  <si>
    <t>Budget MO Etude (€)</t>
  </si>
  <si>
    <t>Budget MO Agent (heure)</t>
  </si>
  <si>
    <t>Budget MO (€)</t>
  </si>
  <si>
    <t>Budget Matériel (€)</t>
  </si>
  <si>
    <t>Budget ST (€)</t>
  </si>
  <si>
    <t>Budget Coût Total (€)</t>
  </si>
  <si>
    <t>Date de début de chantier</t>
  </si>
  <si>
    <t>Date de fin de chantier</t>
  </si>
  <si>
    <t>Réalisé MO Etude (€)</t>
  </si>
  <si>
    <t>Réalisé MO Agent (heure)</t>
  </si>
  <si>
    <t>Réalisé MO (€)</t>
  </si>
  <si>
    <t>Réalisé Matériel (€)</t>
  </si>
  <si>
    <t>Réalisé ST (€)</t>
  </si>
  <si>
    <t>Réalisé Coût Total (€)</t>
  </si>
  <si>
    <t>Avancement physique du chantier (%)</t>
  </si>
  <si>
    <t>PAT MO Etude (€)</t>
  </si>
  <si>
    <t>PAT MO Agent (heure)</t>
  </si>
  <si>
    <t>PAT MO (€)</t>
  </si>
  <si>
    <t>PAT Matériel (€)</t>
  </si>
  <si>
    <t>PAT ST (€)</t>
  </si>
  <si>
    <t>PAT Coût Total (€)</t>
  </si>
  <si>
    <t>PAT CA (€)</t>
  </si>
  <si>
    <t>PAT Marge (€)</t>
  </si>
  <si>
    <t>PAT Marge (%)</t>
  </si>
  <si>
    <t>Description des risques et Opportunités</t>
  </si>
  <si>
    <t>Montant Risques et Op.</t>
  </si>
  <si>
    <t>Description des provisions</t>
  </si>
  <si>
    <t>Montant des provisions</t>
  </si>
  <si>
    <t>Situation méritée (CA Produit)</t>
  </si>
  <si>
    <t>Montant Facturé (€)</t>
  </si>
  <si>
    <t>FAE (€)</t>
  </si>
  <si>
    <t>Montant Encaissé (€)</t>
  </si>
  <si>
    <t>Couverture d'en-cours</t>
  </si>
  <si>
    <t>CA Année N-1 (2020)</t>
  </si>
  <si>
    <t>CA 2021 - Réalisé</t>
  </si>
  <si>
    <t>CA 2021 - A réaliser</t>
  </si>
  <si>
    <t>CA 2022 - Projection</t>
  </si>
  <si>
    <t>Provision P.A.R.</t>
  </si>
  <si>
    <t>Charges 2021 MO (€)</t>
  </si>
  <si>
    <t>Charges 2021 Materiel (€)</t>
  </si>
  <si>
    <t>Charges 2021 ST (€)</t>
  </si>
  <si>
    <t>Charges 2021 à date</t>
  </si>
  <si>
    <t>Stock Chantier et FAP à date</t>
  </si>
  <si>
    <t>Marge 2021 à date</t>
  </si>
  <si>
    <t>Taux de marge 2021 à date</t>
  </si>
  <si>
    <t>Statut du chantier</t>
  </si>
  <si>
    <t>Commentaire</t>
  </si>
  <si>
    <t>Estimation Budget MO (heures)</t>
  </si>
  <si>
    <t>MO : reste à planifier</t>
  </si>
  <si>
    <t>MO &lt; 2021</t>
  </si>
  <si>
    <t>Janvier 2021 MO</t>
  </si>
  <si>
    <t>Février 2021 MO</t>
  </si>
  <si>
    <t>Mars 2021 MO</t>
  </si>
  <si>
    <t>Avril 2021 MO</t>
  </si>
  <si>
    <t>Mai 2021 MO</t>
  </si>
  <si>
    <t>Juin 2021 MO</t>
  </si>
  <si>
    <t>Juillet 2021 MO</t>
  </si>
  <si>
    <t>Août 2021 MO</t>
  </si>
  <si>
    <t>Septembre 2021 MO</t>
  </si>
  <si>
    <t>Octobre 2021 MO</t>
  </si>
  <si>
    <t>Novembre 2021 MO</t>
  </si>
  <si>
    <t>Décembre 2021 MO</t>
  </si>
  <si>
    <t>Janvier 2022 MO</t>
  </si>
  <si>
    <t>Février 2022 MO</t>
  </si>
  <si>
    <t>Mars 2022 MO</t>
  </si>
  <si>
    <t>Avril 2022 MO</t>
  </si>
  <si>
    <t>Mai 2022 MO</t>
  </si>
  <si>
    <t>Juin 2022 MO</t>
  </si>
  <si>
    <t>Juillet 2022 MO</t>
  </si>
  <si>
    <t>Août 2022 MO</t>
  </si>
  <si>
    <t>Septembre 2022 MO</t>
  </si>
  <si>
    <t>Octobre 2022 MO</t>
  </si>
  <si>
    <t>Novembre 2022 MO</t>
  </si>
  <si>
    <t>Décembre 2022 MO</t>
  </si>
  <si>
    <t>Janvier 2023 MO</t>
  </si>
  <si>
    <t>Février 2023 MO</t>
  </si>
  <si>
    <t>Mars 2023 MO</t>
  </si>
  <si>
    <t>Avril 2023 MO</t>
  </si>
  <si>
    <t>Mai 2023 MO</t>
  </si>
  <si>
    <t>Juin 2023 MO</t>
  </si>
  <si>
    <t>Juillet 2023 MO</t>
  </si>
  <si>
    <t>Août 2023 MO</t>
  </si>
  <si>
    <t>Septembre 2023 MO</t>
  </si>
  <si>
    <t>Octobre 2023 MO</t>
  </si>
  <si>
    <t>Novembre 2023 MO</t>
  </si>
  <si>
    <t>Décembre 2023 MO</t>
  </si>
  <si>
    <t>MO &gt; 2023</t>
  </si>
  <si>
    <t>Colonne282</t>
  </si>
  <si>
    <t>CA : reste à planifier</t>
  </si>
  <si>
    <t>CA &lt; 2021</t>
  </si>
  <si>
    <t>Janvier 2021 CA</t>
  </si>
  <si>
    <t>Février 2021 CA</t>
  </si>
  <si>
    <t>Mars 2021 CA</t>
  </si>
  <si>
    <t>Avril 2021 CA</t>
  </si>
  <si>
    <t>Mai 2021 CA</t>
  </si>
  <si>
    <t>Juin 2021 CA</t>
  </si>
  <si>
    <t>Juillet 2021 CA</t>
  </si>
  <si>
    <t>Août 2021 CA</t>
  </si>
  <si>
    <t>Septembre 2021 CA</t>
  </si>
  <si>
    <t>Octobre 2021 CA</t>
  </si>
  <si>
    <t>Novembre 2021 CA</t>
  </si>
  <si>
    <t>Décembre 2021 CA</t>
  </si>
  <si>
    <t>Janvier 2022 CA</t>
  </si>
  <si>
    <t>Février 2022 CA</t>
  </si>
  <si>
    <t>Mars 2022 CA</t>
  </si>
  <si>
    <t>Avril 2022 CA</t>
  </si>
  <si>
    <t>Mai 2022 CA</t>
  </si>
  <si>
    <t>Juin 2022 CA</t>
  </si>
  <si>
    <t>Juillet 2022 CA</t>
  </si>
  <si>
    <t>Août 2022 CA</t>
  </si>
  <si>
    <t>Septembre 2022 CA</t>
  </si>
  <si>
    <t>Octobre 2022 CA</t>
  </si>
  <si>
    <t>Novembre 2022 CA</t>
  </si>
  <si>
    <t>Décembre 2022 CA</t>
  </si>
  <si>
    <t>Janvier 2023 CA</t>
  </si>
  <si>
    <t>Février 2023 CA</t>
  </si>
  <si>
    <t>Mars 2023 CA</t>
  </si>
  <si>
    <t>Avril 2023 CA</t>
  </si>
  <si>
    <t>Mai 2023 CA</t>
  </si>
  <si>
    <t>Juin 2023 CA</t>
  </si>
  <si>
    <t>Juillet 2023 CA</t>
  </si>
  <si>
    <t>Août 2023 CA</t>
  </si>
  <si>
    <t>Septembre 2023 CA</t>
  </si>
  <si>
    <t>Octobre 2023 CA</t>
  </si>
  <si>
    <t>Novembre 2023 CA</t>
  </si>
  <si>
    <t>Décembre 2023 CA</t>
  </si>
  <si>
    <t>CA &gt; 2023</t>
  </si>
  <si>
    <t>Ratio PAT CA / CA Vendu initial</t>
  </si>
  <si>
    <t>colonne</t>
  </si>
  <si>
    <t>Détail du budget</t>
  </si>
  <si>
    <t>MON2021_33</t>
  </si>
  <si>
    <t>915202</t>
  </si>
  <si>
    <t>HT</t>
  </si>
  <si>
    <t>SV</t>
  </si>
  <si>
    <t>PE</t>
  </si>
  <si>
    <t>BRGM</t>
  </si>
  <si>
    <t>0702020 BRGM FILTRE A PLATEAUX</t>
  </si>
  <si>
    <t>Matériel + cher que prévu</t>
  </si>
  <si>
    <t>MON2021_126</t>
  </si>
  <si>
    <t>X07110</t>
  </si>
  <si>
    <t>GMA</t>
  </si>
  <si>
    <t>CCDRAGA</t>
  </si>
  <si>
    <t>Silo à boues STEP Bourg ST Andéol</t>
  </si>
  <si>
    <t>MON2021_197</t>
  </si>
  <si>
    <t>X74101</t>
  </si>
  <si>
    <t>PDO/GMA</t>
  </si>
  <si>
    <t>Com Com Rumilly Terre de Savoie</t>
  </si>
  <si>
    <t>LOT 2 &amp; 3 , clôtures, sécurisation</t>
  </si>
  <si>
    <t>MON2021_194</t>
  </si>
  <si>
    <t>X26101</t>
  </si>
  <si>
    <t>Commune de Saint Marcel les Sauzet</t>
  </si>
  <si>
    <t>Défense incendie (7 bâches souples)</t>
  </si>
  <si>
    <t>MON2021_232</t>
  </si>
  <si>
    <t>915201</t>
  </si>
  <si>
    <t>EDF Tricastin</t>
  </si>
  <si>
    <t>Remise à niveau tamis rotatif</t>
  </si>
  <si>
    <t>MON2021_239</t>
  </si>
  <si>
    <t>915200</t>
  </si>
  <si>
    <t>Joyeuse</t>
  </si>
  <si>
    <t>Pompe 2 jamelle</t>
  </si>
  <si>
    <t>MON2019_22</t>
  </si>
  <si>
    <t>X26103</t>
  </si>
  <si>
    <t>TB</t>
  </si>
  <si>
    <t>Loriol</t>
  </si>
  <si>
    <t>Dégrilleur compacteur entrée STEP</t>
  </si>
  <si>
    <t>MON2021_226</t>
  </si>
  <si>
    <t>X48101</t>
  </si>
  <si>
    <t>Lozère Habitation</t>
  </si>
  <si>
    <t>Réhabilitation du local surpresseur La Tuilerie</t>
  </si>
  <si>
    <t>MON2021_170</t>
  </si>
  <si>
    <t>PDO</t>
  </si>
  <si>
    <t>Mairie de Meysse</t>
  </si>
  <si>
    <t>Travaux sur poteaux incendie</t>
  </si>
  <si>
    <t>MON2021_132</t>
  </si>
  <si>
    <t>Mairie de Saint Paul Trois Châteaux</t>
  </si>
  <si>
    <t>Trappe PR Gonsard</t>
  </si>
  <si>
    <t>MON2021-110</t>
  </si>
  <si>
    <t>X07113</t>
  </si>
  <si>
    <t>Montélimar</t>
  </si>
  <si>
    <t>La Dame 2 débitmètres</t>
  </si>
  <si>
    <t>MON2021_241</t>
  </si>
  <si>
    <t>ROCHEMAURE</t>
  </si>
  <si>
    <t>Renouvellement pompe n°1 recirculation</t>
  </si>
  <si>
    <t>Non Renseigné</t>
  </si>
  <si>
    <t>X07107</t>
  </si>
  <si>
    <t>HT/PDO</t>
  </si>
  <si>
    <t>SIVOM LUGDARES</t>
  </si>
  <si>
    <t>Commune de St Laurent les Bains</t>
  </si>
  <si>
    <t>MON2021_167</t>
  </si>
  <si>
    <t>X07108</t>
  </si>
  <si>
    <t>Vesseaux</t>
  </si>
  <si>
    <t>Sectorisation et télésurveillance</t>
  </si>
  <si>
    <t>MON2021_188</t>
  </si>
  <si>
    <t>X26104</t>
  </si>
  <si>
    <t>SIEA du Pays de Dieulefit Bourdeaux</t>
  </si>
  <si>
    <t>Bassin d'orage de Dieulefit</t>
  </si>
  <si>
    <t>MON2017 58</t>
  </si>
  <si>
    <t>915824</t>
  </si>
  <si>
    <t>Mairie de Cobonne</t>
  </si>
  <si>
    <t>LOT 2 LES BOURBOUS</t>
  </si>
  <si>
    <t>Avenant Plus values suite réunion 13/04/2021, Dégradation de MB possible du fait du MOE</t>
  </si>
  <si>
    <t>MON2021_98</t>
  </si>
  <si>
    <t>SF</t>
  </si>
  <si>
    <t>CAPCA</t>
  </si>
  <si>
    <t xml:space="preserve">Diag amont step Le Pouzin CAPCA </t>
  </si>
  <si>
    <t>MON2021_99</t>
  </si>
  <si>
    <t>DRAGA</t>
  </si>
  <si>
    <t>Step BSA suivi du milieu récepteur sur 8 mois</t>
  </si>
  <si>
    <t>MON2021_63</t>
  </si>
  <si>
    <t>X26102</t>
  </si>
  <si>
    <t>Groupement hospitalier Porte de Provence</t>
  </si>
  <si>
    <t>Arrivée eau froide</t>
  </si>
  <si>
    <t>MON2021_208</t>
  </si>
  <si>
    <t>Montpezat-sous-Bauzon</t>
  </si>
  <si>
    <t>Mise en place d'un système de communication radio</t>
  </si>
  <si>
    <t>MON2021_206</t>
  </si>
  <si>
    <t>Renouvellement racles presse</t>
  </si>
  <si>
    <t>MON2020_114</t>
  </si>
  <si>
    <t>X26019</t>
  </si>
  <si>
    <t>schémas, ensemble de prestations</t>
  </si>
  <si>
    <t>MON2021_55</t>
  </si>
  <si>
    <t>X07105</t>
  </si>
  <si>
    <t>SEBA</t>
  </si>
  <si>
    <t>Améliorations step Ruoms Lot1: Chlorure ferrique et prétraitements mdv</t>
  </si>
  <si>
    <t>Avenant en cours de négo</t>
  </si>
  <si>
    <t>MON2021_210</t>
  </si>
  <si>
    <t>X07109</t>
  </si>
  <si>
    <t>ISSARLES</t>
  </si>
  <si>
    <t>Création d'une unité de désinfection réseau des Arcis et sécurisation</t>
  </si>
  <si>
    <t>X07102</t>
  </si>
  <si>
    <t>Camping BAIX</t>
  </si>
  <si>
    <t>Désodorisation Step Baix</t>
  </si>
  <si>
    <t>Divers</t>
  </si>
  <si>
    <t>-</t>
  </si>
  <si>
    <t>CC_07915200 - PETITS TE LARGENTIERE</t>
  </si>
  <si>
    <t>CC_07915201 - PETITS TE RHODANIEN</t>
  </si>
  <si>
    <t>CC_07915202 - PETITS TE MAINTENANCE</t>
  </si>
  <si>
    <t>X07925</t>
  </si>
  <si>
    <t>LARNAS</t>
  </si>
  <si>
    <t>DEGRILLEUR</t>
  </si>
  <si>
    <t>MON2021_214</t>
  </si>
  <si>
    <t>Mairie de Saint Victor de Malcap</t>
  </si>
  <si>
    <t>Renouvellement pompe n°1 et de ses barres de guidage</t>
  </si>
  <si>
    <t>MON2021_203</t>
  </si>
  <si>
    <t>ROBIVAL</t>
  </si>
  <si>
    <t>pompe NP3102 MT 462 ADA 3,1 kW 10m câble</t>
  </si>
  <si>
    <t>MON2021_86</t>
  </si>
  <si>
    <t>Remplacement 3102 modèle 181 – n° 1120229</t>
  </si>
  <si>
    <t>MON2021_87</t>
  </si>
  <si>
    <t>Remplacement FLYGT3085.183-1460066  472 </t>
  </si>
  <si>
    <t>X07004</t>
  </si>
  <si>
    <t>Villeneuve de Berg</t>
  </si>
  <si>
    <t>Centrifugeuse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</si>
</sst>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\ &quot;€&quot;"/>
    <numFmt numFmtId="165" formatCode="#,##0&quot;h&quot;;\-#,##0&quot;h&quot;;;"/>
    <numFmt numFmtId="166" formatCode="#,##0\ &quot;€&quot;;\-\ #,##0\ &quot;€&quot;;\-;"/>
    <numFmt numFmtId="167" formatCode="#,##0&quot;h&quot;;\-#,##0&quot;h&quot;;"/>
    <numFmt numFmtId="168" formatCode="#,##0\ &quot;€&quot;;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14" fontId="5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9" fontId="0" fillId="11" borderId="1" xfId="1" applyFont="1" applyFill="1" applyBorder="1" applyAlignment="1">
      <alignment horizontal="center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11" borderId="1" xfId="0" applyNumberFormat="1" applyFill="1" applyBorder="1" applyAlignment="1">
      <alignment horizontal="center"/>
    </xf>
    <xf numFmtId="166" fontId="7" fillId="5" borderId="1" xfId="0" applyNumberFormat="1" applyFont="1" applyFill="1" applyBorder="1" applyAlignment="1">
      <alignment horizontal="center"/>
    </xf>
    <xf numFmtId="14" fontId="5" fillId="12" borderId="1" xfId="0" applyNumberFormat="1" applyFont="1" applyFill="1" applyBorder="1" applyAlignment="1" applyProtection="1">
      <alignment horizontal="center"/>
      <protection locked="0"/>
    </xf>
    <xf numFmtId="166" fontId="0" fillId="13" borderId="1" xfId="0" applyNumberFormat="1" applyFill="1" applyBorder="1" applyAlignment="1">
      <alignment horizontal="center"/>
    </xf>
    <xf numFmtId="167" fontId="0" fillId="13" borderId="1" xfId="0" applyNumberFormat="1" applyFill="1" applyBorder="1" applyAlignment="1">
      <alignment horizontal="center"/>
    </xf>
    <xf numFmtId="166" fontId="0" fillId="11" borderId="1" xfId="0" quotePrefix="1" applyNumberFormat="1" applyFill="1" applyBorder="1" applyAlignment="1">
      <alignment horizontal="center" wrapText="1"/>
    </xf>
    <xf numFmtId="9" fontId="6" fillId="12" borderId="1" xfId="1" applyFont="1" applyFill="1" applyBorder="1" applyAlignment="1" applyProtection="1">
      <alignment horizontal="center"/>
      <protection locked="0"/>
    </xf>
    <xf numFmtId="165" fontId="0" fillId="12" borderId="1" xfId="0" applyNumberFormat="1" applyFill="1" applyBorder="1" applyAlignment="1" applyProtection="1">
      <alignment horizontal="center"/>
      <protection locked="0"/>
    </xf>
    <xf numFmtId="164" fontId="0" fillId="12" borderId="1" xfId="0" applyNumberForma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164" fontId="0" fillId="11" borderId="1" xfId="0" applyNumberFormat="1" applyFill="1" applyBorder="1" applyAlignment="1">
      <alignment horizontal="center"/>
    </xf>
    <xf numFmtId="166" fontId="0" fillId="12" borderId="1" xfId="0" applyNumberFormat="1" applyFill="1" applyBorder="1" applyAlignment="1" applyProtection="1">
      <alignment horizontal="center"/>
      <protection locked="0"/>
    </xf>
    <xf numFmtId="2" fontId="0" fillId="11" borderId="1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8" fontId="0" fillId="8" borderId="1" xfId="0" applyNumberFormat="1" applyFill="1" applyBorder="1" applyAlignment="1">
      <alignment horizontal="center"/>
    </xf>
    <xf numFmtId="168" fontId="0" fillId="14" borderId="1" xfId="0" applyNumberFormat="1" applyFill="1" applyBorder="1" applyAlignment="1" applyProtection="1">
      <alignment horizontal="center"/>
      <protection locked="0"/>
    </xf>
    <xf numFmtId="9" fontId="0" fillId="12" borderId="1" xfId="1" applyFont="1" applyFill="1" applyBorder="1" applyAlignment="1">
      <alignment horizontal="center"/>
    </xf>
    <xf numFmtId="168" fontId="0" fillId="9" borderId="1" xfId="0" applyNumberFormat="1" applyFill="1" applyBorder="1" applyAlignment="1">
      <alignment horizontal="center"/>
    </xf>
    <xf numFmtId="168" fontId="0" fillId="15" borderId="1" xfId="0" applyNumberFormat="1" applyFill="1" applyBorder="1" applyAlignment="1">
      <alignment horizontal="left"/>
    </xf>
    <xf numFmtId="165" fontId="0" fillId="12" borderId="1" xfId="1" applyNumberFormat="1" applyFont="1" applyFill="1" applyBorder="1" applyAlignment="1" applyProtection="1">
      <alignment horizontal="center"/>
      <protection locked="0"/>
    </xf>
    <xf numFmtId="166" fontId="0" fillId="11" borderId="1" xfId="1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155">
    <dxf>
      <numFmt numFmtId="164" formatCode="#,##0\ &quot;€&quot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8" formatCode="#,##0\ &quot;€&quot;;;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8" formatCode="#,##0\ &quot;€&quot;;;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3" formatCode="0%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8" formatCode="#,##0\ &quot;€&quot;;;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5" formatCode="#,##0&quot;h&quot;;\-#,##0&quot;h&quot;;;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5" formatCode="#,##0&quot;h&quot;;\-#,##0&quot;h&quot;;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numFmt numFmtId="164" formatCode="#,##0\ &quot;€&quot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&quot;h&quot;;\-#,##0&quot;h&quot;;;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 val="0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#,##0&quot;h&quot;;\-#,##0&quot;h&quot;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#,##0\ &quot;€&quot;;\-\ #,##0\ &quot;€&quot;;\-;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font>
        <b/>
      </font>
      <numFmt numFmtId="166" formatCode="#,##0\ &quot;€&quot;;\-\ #,##0\ &quot;€&quot;;\-;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</font>
      <numFmt numFmtId="166" formatCode="#,##0\ &quot;€&quot;;\-\ #,##0\ &quot;€&quot;;\-;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&quot;h&quot;;\-#,##0&quot;h&quot;;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  <protection locked="0" hidden="0"/>
    </dxf>
    <dxf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numFmt numFmtId="164" formatCode="#,##0\ &quot;€&quot;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  <protection locked="0" hidden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</dxf>
  </dxfs>
  <tableStyles count="1" defaultTableStyle="TableStyleMedium2" defaultPivotStyle="PivotStyleLight16">
    <tableStyle name="Style de tableau 1" pivot="0" count="3" xr9:uid="{4F2EBDE4-DCB6-448F-85EE-FD883D33DF44}">
      <tableStyleElement type="headerRow" dxfId="154"/>
      <tableStyleElement type="firstRowStripe" dxfId="153"/>
      <tableStyleElement type="secondRowStripe" dxfId="1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esaur.sharepoint.com/sites/TRAVAUX_Processus_Performance_operationnelle/Documents%20partages/02%20Livrables/03%20Sp&#233;cification%20outils%20de%20pilotage/demo%20MON%20pilotage%20chantier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i exécution"/>
      <sheetName val="TBD"/>
      <sheetName val="Equilibrage charge capacité"/>
      <sheetName val="Réalisé et engagement"/>
      <sheetName val="Portefeuille et bilan"/>
      <sheetName val="IMPORTS"/>
      <sheetName val="TCDGEMO1611"/>
      <sheetName val="essb DR AURA PE"/>
      <sheetName val="PARAMETRAGE"/>
      <sheetName val="Paramétrage"/>
      <sheetName val="Valeurs"/>
      <sheetName val="demo MON pilotage chantier v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D1" t="str">
            <v>Fichier : Suivi de gestion mensuel</v>
          </cell>
        </row>
        <row r="2">
          <cell r="D2" t="str">
            <v>Main-d'oeuvre</v>
          </cell>
          <cell r="E2" t="str">
            <v>HA ST</v>
          </cell>
        </row>
        <row r="3">
          <cell r="D3">
            <v>2838.2558420273972</v>
          </cell>
          <cell r="E3">
            <v>-710.70228874899817</v>
          </cell>
        </row>
        <row r="4">
          <cell r="D4">
            <v>-2875.3579179210278</v>
          </cell>
          <cell r="E4">
            <v>0</v>
          </cell>
        </row>
        <row r="5">
          <cell r="D5">
            <v>-1486.5949035672854</v>
          </cell>
          <cell r="E5">
            <v>0</v>
          </cell>
        </row>
        <row r="6">
          <cell r="D6">
            <v>-953.40388968197976</v>
          </cell>
          <cell r="E6">
            <v>0</v>
          </cell>
        </row>
        <row r="7">
          <cell r="D7">
            <v>0</v>
          </cell>
          <cell r="E7">
            <v>0</v>
          </cell>
        </row>
        <row r="8">
          <cell r="D8" t="e">
            <v>#DIV/0!</v>
          </cell>
          <cell r="E8" t="e">
            <v>#DIV/0!</v>
          </cell>
        </row>
        <row r="9">
          <cell r="D9">
            <v>0</v>
          </cell>
          <cell r="E9">
            <v>0</v>
          </cell>
        </row>
        <row r="10">
          <cell r="D10">
            <v>-5899.8763388295401</v>
          </cell>
          <cell r="E10">
            <v>-2899.1363543160792</v>
          </cell>
        </row>
        <row r="11">
          <cell r="D11">
            <v>-4736.7822719564174</v>
          </cell>
          <cell r="E11">
            <v>0</v>
          </cell>
        </row>
        <row r="12">
          <cell r="D12">
            <v>868.83760264212742</v>
          </cell>
          <cell r="E12">
            <v>0</v>
          </cell>
        </row>
        <row r="13">
          <cell r="D13">
            <v>-136.25</v>
          </cell>
          <cell r="E13">
            <v>0</v>
          </cell>
        </row>
        <row r="14">
          <cell r="D14">
            <v>-803.21909518707969</v>
          </cell>
          <cell r="E14">
            <v>-6764.1088053441945</v>
          </cell>
        </row>
        <row r="15">
          <cell r="D15">
            <v>-1191.5277926822775</v>
          </cell>
          <cell r="E15">
            <v>-42143.77636423958</v>
          </cell>
        </row>
        <row r="16">
          <cell r="D16">
            <v>0</v>
          </cell>
          <cell r="E16">
            <v>-24909.716594807818</v>
          </cell>
        </row>
        <row r="17">
          <cell r="D17">
            <v>-1610.9771279172821</v>
          </cell>
          <cell r="E17">
            <v>0</v>
          </cell>
        </row>
        <row r="18">
          <cell r="D18">
            <v>-17924.007397998317</v>
          </cell>
          <cell r="E18">
            <v>-78224.889741996303</v>
          </cell>
        </row>
        <row r="19">
          <cell r="D19">
            <v>-4678.0686206338214</v>
          </cell>
          <cell r="E19">
            <v>-1585.8574234413989</v>
          </cell>
        </row>
        <row r="20">
          <cell r="D20" t="e">
            <v>#DIV/0!</v>
          </cell>
          <cell r="E20" t="e">
            <v>#DIV/0!</v>
          </cell>
        </row>
        <row r="21">
          <cell r="D21">
            <v>-21401.624598298509</v>
          </cell>
          <cell r="E21">
            <v>-12536.12148667771</v>
          </cell>
        </row>
        <row r="22">
          <cell r="D22">
            <v>-34854.870322544906</v>
          </cell>
          <cell r="E22">
            <v>-14074.625695291837</v>
          </cell>
        </row>
        <row r="23">
          <cell r="D23">
            <v>0</v>
          </cell>
          <cell r="E23">
            <v>-273.19400017990466</v>
          </cell>
        </row>
        <row r="24">
          <cell r="D24" t="e">
            <v>#DIV/0!</v>
          </cell>
          <cell r="E24" t="e">
            <v>#DIV/0!</v>
          </cell>
        </row>
        <row r="25">
          <cell r="D25">
            <v>-3505.7797300087077</v>
          </cell>
          <cell r="E25">
            <v>0</v>
          </cell>
        </row>
        <row r="26">
          <cell r="D26">
            <v>-9397.8396603590136</v>
          </cell>
          <cell r="E26">
            <v>-25714.204023370123</v>
          </cell>
        </row>
        <row r="27">
          <cell r="D27">
            <v>-6504.1933032373108</v>
          </cell>
          <cell r="E27">
            <v>-1158.8278267863927</v>
          </cell>
        </row>
        <row r="28">
          <cell r="D28">
            <v>0</v>
          </cell>
          <cell r="E28">
            <v>0</v>
          </cell>
        </row>
        <row r="29">
          <cell r="D29">
            <v>-4058.2999999999997</v>
          </cell>
          <cell r="E29">
            <v>0</v>
          </cell>
        </row>
        <row r="30">
          <cell r="D30" t="e">
            <v>#DIV/0!</v>
          </cell>
          <cell r="E30" t="e">
            <v>#DIV/0!</v>
          </cell>
        </row>
        <row r="31">
          <cell r="D31">
            <v>0</v>
          </cell>
          <cell r="E31">
            <v>-24580.920000000002</v>
          </cell>
        </row>
        <row r="32">
          <cell r="D32">
            <v>-4010.76</v>
          </cell>
          <cell r="E32">
            <v>0</v>
          </cell>
        </row>
        <row r="33">
          <cell r="D33">
            <v>-89494.388802291258</v>
          </cell>
          <cell r="E33">
            <v>-77158.482771449228</v>
          </cell>
        </row>
        <row r="34">
          <cell r="D34">
            <v>0</v>
          </cell>
          <cell r="E34">
            <v>0</v>
          </cell>
        </row>
        <row r="35">
          <cell r="D35">
            <v>-8032.9782677990452</v>
          </cell>
          <cell r="E35">
            <v>-42005.255594046699</v>
          </cell>
        </row>
        <row r="36">
          <cell r="D36">
            <v>-6555.5032356664051</v>
          </cell>
          <cell r="E36">
            <v>-29784.100928679498</v>
          </cell>
        </row>
        <row r="37">
          <cell r="D37">
            <v>-17346.938569486822</v>
          </cell>
          <cell r="E37">
            <v>-10251.40393500832</v>
          </cell>
        </row>
        <row r="38">
          <cell r="D38" t="e">
            <v>#DIV/0!</v>
          </cell>
          <cell r="E38" t="e">
            <v>#DIV/0!</v>
          </cell>
        </row>
        <row r="39">
          <cell r="D39" t="e">
            <v>#DIV/0!</v>
          </cell>
          <cell r="E39" t="e">
            <v>#DIV/0!</v>
          </cell>
        </row>
        <row r="40">
          <cell r="D40" t="e">
            <v>#DIV/0!</v>
          </cell>
          <cell r="E40" t="e">
            <v>#DIV/0!</v>
          </cell>
        </row>
        <row r="41">
          <cell r="D41" t="e">
            <v>#DIV/0!</v>
          </cell>
          <cell r="E41" t="e">
            <v>#DIV/0!</v>
          </cell>
        </row>
        <row r="42">
          <cell r="D42" t="e">
            <v>#DIV/0!</v>
          </cell>
          <cell r="E42" t="e">
            <v>#DIV/0!</v>
          </cell>
        </row>
        <row r="43">
          <cell r="D43" t="e">
            <v>#DIV/0!</v>
          </cell>
          <cell r="E43" t="e">
            <v>#DIV/0!</v>
          </cell>
        </row>
        <row r="44">
          <cell r="D44">
            <v>0</v>
          </cell>
          <cell r="E44">
            <v>0</v>
          </cell>
        </row>
        <row r="45">
          <cell r="D45" t="e">
            <v>#DIV/0!</v>
          </cell>
          <cell r="E45" t="e">
            <v>#DIV/0!</v>
          </cell>
        </row>
        <row r="46">
          <cell r="D46">
            <v>0</v>
          </cell>
          <cell r="E46">
            <v>-200</v>
          </cell>
        </row>
        <row r="47">
          <cell r="D47">
            <v>-696.97384719304296</v>
          </cell>
          <cell r="E47">
            <v>-3903.0535442810406</v>
          </cell>
        </row>
        <row r="48">
          <cell r="D48" t="e">
            <v>#DIV/0!</v>
          </cell>
          <cell r="E48" t="e">
            <v>#DIV/0!</v>
          </cell>
        </row>
        <row r="49">
          <cell r="D49" t="e">
            <v>#DIV/0!</v>
          </cell>
          <cell r="E49" t="e">
            <v>#DIV/0!</v>
          </cell>
        </row>
        <row r="50">
          <cell r="D50">
            <v>0</v>
          </cell>
          <cell r="E50">
            <v>0</v>
          </cell>
        </row>
        <row r="51">
          <cell r="D51">
            <v>0</v>
          </cell>
          <cell r="E51">
            <v>810</v>
          </cell>
        </row>
        <row r="52">
          <cell r="D52">
            <v>0</v>
          </cell>
          <cell r="E52">
            <v>-30.6</v>
          </cell>
        </row>
        <row r="53">
          <cell r="D53">
            <v>-8969.1285771219427</v>
          </cell>
          <cell r="E53">
            <v>-7806.0704489343252</v>
          </cell>
        </row>
        <row r="54">
          <cell r="D54">
            <v>-436.50610994229032</v>
          </cell>
          <cell r="E54">
            <v>0</v>
          </cell>
        </row>
        <row r="55">
          <cell r="D55">
            <v>-443.06212703255949</v>
          </cell>
          <cell r="E55">
            <v>-4591.0536552634021</v>
          </cell>
        </row>
        <row r="56">
          <cell r="D56">
            <v>-223.20424142948963</v>
          </cell>
          <cell r="E56">
            <v>-19110.579748011827</v>
          </cell>
        </row>
        <row r="57">
          <cell r="D57">
            <v>-425.49</v>
          </cell>
          <cell r="E57">
            <v>0</v>
          </cell>
        </row>
        <row r="58">
          <cell r="D58">
            <v>-40.090000000000003</v>
          </cell>
          <cell r="E58">
            <v>0</v>
          </cell>
        </row>
        <row r="59">
          <cell r="D59">
            <v>0</v>
          </cell>
          <cell r="E59">
            <v>0</v>
          </cell>
        </row>
        <row r="60">
          <cell r="D60">
            <v>0</v>
          </cell>
          <cell r="E60">
            <v>1569.4</v>
          </cell>
        </row>
        <row r="61">
          <cell r="D61">
            <v>-1447.3251614471224</v>
          </cell>
          <cell r="E61">
            <v>-696.56495991679787</v>
          </cell>
        </row>
        <row r="62">
          <cell r="D62">
            <v>-947.07402039958652</v>
          </cell>
          <cell r="E62">
            <v>0</v>
          </cell>
        </row>
        <row r="63">
          <cell r="D63">
            <v>-46561.178914196753</v>
          </cell>
          <cell r="E63">
            <v>-116196.85272267841</v>
          </cell>
        </row>
        <row r="64">
          <cell r="D64">
            <v>-2910.3562770914764</v>
          </cell>
          <cell r="E64">
            <v>-12361.342347266862</v>
          </cell>
        </row>
        <row r="65">
          <cell r="D65" t="e">
            <v>#DIV/0!</v>
          </cell>
          <cell r="E65" t="e">
            <v>#DIV/0!</v>
          </cell>
        </row>
        <row r="66">
          <cell r="D66" t="e">
            <v>#DIV/0!</v>
          </cell>
          <cell r="E66" t="e">
            <v>#DIV/0!</v>
          </cell>
        </row>
        <row r="67">
          <cell r="D67">
            <v>-364.5240040984549</v>
          </cell>
          <cell r="E67">
            <v>-2137.839623706624</v>
          </cell>
        </row>
        <row r="68">
          <cell r="D68" t="e">
            <v>#DIV/0!</v>
          </cell>
          <cell r="E68" t="e">
            <v>#DIV/0!</v>
          </cell>
        </row>
        <row r="69">
          <cell r="D69">
            <v>-1093.1504922871784</v>
          </cell>
          <cell r="E69">
            <v>-4436.3043409135389</v>
          </cell>
        </row>
        <row r="70">
          <cell r="D70">
            <v>-800</v>
          </cell>
          <cell r="E70">
            <v>0</v>
          </cell>
        </row>
        <row r="71">
          <cell r="D71">
            <v>-27714.186664546141</v>
          </cell>
          <cell r="E71">
            <v>-10755.547377088171</v>
          </cell>
        </row>
        <row r="72">
          <cell r="D72">
            <v>-1469.3005801296822</v>
          </cell>
          <cell r="E72">
            <v>-515.59824078146949</v>
          </cell>
        </row>
        <row r="73">
          <cell r="D73">
            <v>0</v>
          </cell>
          <cell r="E73">
            <v>-27250.211975296614</v>
          </cell>
        </row>
        <row r="74">
          <cell r="D74">
            <v>-25228.378237113106</v>
          </cell>
          <cell r="E74">
            <v>-22664.94206126374</v>
          </cell>
        </row>
        <row r="75">
          <cell r="D75">
            <v>-142.48338918463142</v>
          </cell>
          <cell r="E75">
            <v>0</v>
          </cell>
        </row>
        <row r="76">
          <cell r="D76">
            <v>-7818.691395578222</v>
          </cell>
          <cell r="E76">
            <v>-25071.666428144315</v>
          </cell>
        </row>
        <row r="77">
          <cell r="D77">
            <v>0</v>
          </cell>
          <cell r="E77">
            <v>-23163.273207066875</v>
          </cell>
        </row>
        <row r="78">
          <cell r="D78">
            <v>0</v>
          </cell>
          <cell r="E78">
            <v>0</v>
          </cell>
        </row>
        <row r="79">
          <cell r="D79">
            <v>0</v>
          </cell>
          <cell r="E79">
            <v>-9070.6690318640049</v>
          </cell>
        </row>
        <row r="80">
          <cell r="D80">
            <v>-4767.7511505924749</v>
          </cell>
          <cell r="E80">
            <v>0</v>
          </cell>
        </row>
        <row r="81">
          <cell r="D81">
            <v>-394.38</v>
          </cell>
          <cell r="E81">
            <v>0</v>
          </cell>
        </row>
        <row r="82">
          <cell r="D82">
            <v>0</v>
          </cell>
          <cell r="E82">
            <v>0</v>
          </cell>
        </row>
        <row r="83">
          <cell r="D83">
            <v>-1284.1271457313842</v>
          </cell>
          <cell r="E83">
            <v>0</v>
          </cell>
        </row>
        <row r="84">
          <cell r="D84">
            <v>0</v>
          </cell>
          <cell r="E84">
            <v>-7941.8210181416562</v>
          </cell>
        </row>
        <row r="85">
          <cell r="D85">
            <v>0</v>
          </cell>
          <cell r="E85">
            <v>0</v>
          </cell>
        </row>
        <row r="86">
          <cell r="D86">
            <v>-296.38</v>
          </cell>
          <cell r="E86">
            <v>0</v>
          </cell>
        </row>
        <row r="87">
          <cell r="D87">
            <v>-8049.739019497998</v>
          </cell>
          <cell r="E87">
            <v>0</v>
          </cell>
        </row>
        <row r="88">
          <cell r="D88">
            <v>-17280.915592893649</v>
          </cell>
          <cell r="E88">
            <v>-51889.253773436125</v>
          </cell>
        </row>
        <row r="89">
          <cell r="D89">
            <v>-3163.4471980686326</v>
          </cell>
          <cell r="E89">
            <v>-2220.4593504627237</v>
          </cell>
        </row>
        <row r="90">
          <cell r="D90">
            <v>-3067.9744006983046</v>
          </cell>
          <cell r="E90">
            <v>0</v>
          </cell>
        </row>
        <row r="91">
          <cell r="D91">
            <v>0</v>
          </cell>
          <cell r="E91">
            <v>0</v>
          </cell>
        </row>
        <row r="92">
          <cell r="D92">
            <v>-19155.926394539903</v>
          </cell>
          <cell r="E92">
            <v>-47988.489875024563</v>
          </cell>
        </row>
        <row r="93">
          <cell r="D93">
            <v>-507.54000000000008</v>
          </cell>
          <cell r="E93">
            <v>0</v>
          </cell>
        </row>
        <row r="94">
          <cell r="D94">
            <v>-4327.5200000000004</v>
          </cell>
          <cell r="E94">
            <v>0</v>
          </cell>
        </row>
        <row r="95">
          <cell r="D95">
            <v>-134.78</v>
          </cell>
          <cell r="E95">
            <v>0</v>
          </cell>
        </row>
        <row r="96">
          <cell r="D96">
            <v>0</v>
          </cell>
          <cell r="E96">
            <v>-6220.25</v>
          </cell>
        </row>
        <row r="97">
          <cell r="D97">
            <v>-1117.5526546145384</v>
          </cell>
          <cell r="E97">
            <v>-1008.0240691865115</v>
          </cell>
        </row>
        <row r="98">
          <cell r="D98">
            <v>-4563.8098531781716</v>
          </cell>
          <cell r="E98">
            <v>-38126.931079135284</v>
          </cell>
        </row>
        <row r="99">
          <cell r="D99">
            <v>-4636.3987605128796</v>
          </cell>
          <cell r="E99">
            <v>-13596.892653405723</v>
          </cell>
        </row>
        <row r="100">
          <cell r="D100">
            <v>0</v>
          </cell>
          <cell r="E100">
            <v>0</v>
          </cell>
        </row>
        <row r="101">
          <cell r="D101">
            <v>-378.14</v>
          </cell>
          <cell r="E101">
            <v>0</v>
          </cell>
        </row>
        <row r="102">
          <cell r="D102">
            <v>-331.56</v>
          </cell>
          <cell r="E102">
            <v>0</v>
          </cell>
        </row>
        <row r="103">
          <cell r="D103">
            <v>-144516.86464591321</v>
          </cell>
          <cell r="E103">
            <v>-299320.58560310851</v>
          </cell>
        </row>
        <row r="104">
          <cell r="D104">
            <v>-1782.9</v>
          </cell>
          <cell r="E104">
            <v>0</v>
          </cell>
        </row>
        <row r="105">
          <cell r="D105" t="e">
            <v>#DIV/0!</v>
          </cell>
          <cell r="E105" t="e">
            <v>#DIV/0!</v>
          </cell>
        </row>
        <row r="106">
          <cell r="D106">
            <v>-1782.1000000000001</v>
          </cell>
          <cell r="E106">
            <v>0</v>
          </cell>
        </row>
        <row r="107">
          <cell r="D107">
            <v>-301126.75776978966</v>
          </cell>
          <cell r="E107">
            <v>-574436.67487549817</v>
          </cell>
        </row>
      </sheetData>
      <sheetData sheetId="8" refreshError="1"/>
      <sheetData sheetId="9">
        <row r="8">
          <cell r="C8">
            <v>45</v>
          </cell>
        </row>
        <row r="9">
          <cell r="C9">
            <v>29</v>
          </cell>
        </row>
      </sheetData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B310BD-AE17-4B9E-AB2D-79F0AB648C72}" name="SuiviExec" displayName="SuiviExec" ref="A1:EL35" totalsRowShown="0" headerRowDxfId="143" dataDxfId="142">
  <autoFilter ref="A1:EL35" xr:uid="{FBB310BD-AE17-4B9E-AB2D-79F0AB648C72}"/>
  <tableColumns count="142">
    <tableColumn id="2" xr3:uid="{1662143E-DBE9-4157-91B5-7917D1EF7556}" name="N° B.C." dataDxfId="141"/>
    <tableColumn id="3" xr3:uid="{84D9E9D9-D4FF-4F8D-B5DA-7D0A2263815C}" name="Code d'imputation" dataDxfId="140"/>
    <tableColumn id="5" xr3:uid="{DF47C20C-6006-4773-9F71-2E0A5BAD5E18}" name="Responsable Travaux" dataDxfId="139"/>
    <tableColumn id="6" xr3:uid="{DCDAA610-C553-4413-A72E-4E0E5271F6D9}" name="Responsable d'exécution" dataDxfId="138"/>
    <tableColumn id="7" xr3:uid="{6C60BA83-49B4-4563-B967-492CB3A4A217}" name="Conducteur de travaux" dataDxfId="137"/>
    <tableColumn id="9" xr3:uid="{4B15AF00-B408-45DD-9868-7DEBC1861A96}" name="Type" dataDxfId="136"/>
    <tableColumn id="11" xr3:uid="{089BC00A-E18E-4C6E-862D-0A608FEAB90C}" name="Date d'accord (Ordre de service ou signature du devis)" dataDxfId="135"/>
    <tableColumn id="12" xr3:uid="{AE15CF29-7FA6-4BD2-ACFF-C319B7EEFC1F}" name="Nom du client" dataDxfId="134"/>
    <tableColumn id="13" xr3:uid="{5FB06C5C-9229-4EFE-A9E7-32D75AE708A3}" name="Nom du chantier" dataDxfId="133"/>
    <tableColumn id="14" xr3:uid="{92C16C4F-D01F-457B-8CA3-54A23DACC117}" name="CA Vendu initial (€)" dataDxfId="132"/>
    <tableColumn id="1" xr3:uid="{8A69A0AB-8BC8-49E1-99A7-6A308632A324}" name="Marge Vendue Initiale (€)" dataDxfId="131"/>
    <tableColumn id="4" xr3:uid="{05F33FCF-1B50-447A-BCFD-5F60FC7880DE}" name="Marge Vendue Initiale (%)" dataDxfId="130" dataCellStyle="Pourcentage">
      <calculatedColumnFormula>IFERROR(SuiviExec[[#This Row],[Marge Vendue Initiale (€)]]/SuiviExec[[#This Row],[CA Vendu initial (€)]],"")</calculatedColumnFormula>
    </tableColumn>
    <tableColumn id="95" xr3:uid="{88C24404-0C89-48FB-AE10-4EA5ED5A4218}" name="Budget MO Etude (€)" dataDxfId="129"/>
    <tableColumn id="96" xr3:uid="{4E9D8C91-2F4E-44B0-9A02-2E0C4DA5BE41}" name="Budget MO Agent (heure)" dataDxfId="128"/>
    <tableColumn id="26" xr3:uid="{6B10E126-838F-4E3C-AF2A-2232F1C69724}" name="Budget MO (€)" dataDxfId="127">
      <calculatedColumnFormula>SuiviExec[[#This Row],[Budget MO Etude (€)]]+SuiviExec[[#This Row],[Budget MO Agent (heure)]]*Taux_Horaire_Agent</calculatedColumnFormula>
    </tableColumn>
    <tableColumn id="27" xr3:uid="{5452A1CE-0CA1-467E-B478-1082BE05579A}" name="Budget Matériel (€)" dataDxfId="126"/>
    <tableColumn id="28" xr3:uid="{EE005938-CF93-46F4-87DA-93A3E4D14AAC}" name="Budget ST (€)" dataDxfId="125"/>
    <tableColumn id="29" xr3:uid="{63F88124-EDFB-4E4A-BB03-86FE58171C67}" name="Budget Coût Total (€)" dataDxfId="124">
      <calculatedColumnFormula>SUM(SuiviExec[[#This Row],[Budget MO (€)]:[Budget ST (€)]])</calculatedColumnFormula>
    </tableColumn>
    <tableColumn id="15" xr3:uid="{94024929-FCD3-44CB-8D17-A66E9676678C}" name="Date de début de chantier" dataDxfId="123"/>
    <tableColumn id="16" xr3:uid="{292A87D9-D013-446B-8500-CAAB30FDA55D}" name="Date de fin de chantier" dataDxfId="122"/>
    <tableColumn id="97" xr3:uid="{3ED75B4E-1AC1-41B3-97A2-1BAA48E43A0A}" name="Réalisé MO Etude (€)" dataDxfId="121"/>
    <tableColumn id="114" xr3:uid="{38A8DA8A-9BB8-4A36-8E82-B3441B3418AF}" name="Réalisé MO Agent (heure)" dataDxfId="120">
      <calculatedColumnFormula array="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calculatedColumnFormula>
    </tableColumn>
    <tableColumn id="30" xr3:uid="{E7E14FF8-35F3-4764-A75E-45F46D011122}" name="Réalisé MO (€)" dataDxfId="119">
      <calculatedColumnFormula>IFERROR(SuiviExec[[#This Row],[Réalisé MO Etude (€)]]+SuiviExec[[#This Row],[Réalisé MO Agent (heure)]]*Taux_Horaire_Agent,0)</calculatedColumnFormula>
    </tableColumn>
    <tableColumn id="32" xr3:uid="{C7B32890-EBA9-4D97-B064-09F324C21DB1}" name="Réalisé Matériel (€)" dataDxfId="118">
      <calculatedColumnFormula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calculatedColumnFormula>
    </tableColumn>
    <tableColumn id="33" xr3:uid="{03F47131-1211-43ED-9C6F-ECE5F44B3A80}" name="Réalisé ST (€)" dataDxfId="117">
      <calculatedColumnFormula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calculatedColumnFormula>
    </tableColumn>
    <tableColumn id="34" xr3:uid="{19E558DB-2C57-467E-BDE5-3A152772287C}" name="Réalisé Coût Total (€)" dataDxfId="116">
      <calculatedColumnFormula>SUM(SuiviExec[[#This Row],[Réalisé MO (€)]:[Réalisé ST (€)]])</calculatedColumnFormula>
    </tableColumn>
    <tableColumn id="35" xr3:uid="{10E1D7A1-6D11-4BC5-A9AB-57BBBA208C5B}" name="Avancement physique du chantier (%)" dataDxfId="115"/>
    <tableColumn id="140" xr3:uid="{59158FB5-B8D0-4B11-8627-0EDEB33FFEE2}" name="PAT MO Etude (€)" dataDxfId="114" dataCellStyle="Pourcentage"/>
    <tableColumn id="141" xr3:uid="{C7349905-5C4C-451C-B716-51D89E01A7EC}" name="PAT MO Agent (heure)" dataDxfId="113" dataCellStyle="Pourcentage"/>
    <tableColumn id="36" xr3:uid="{F4DB6087-96FE-49E1-BD95-8120A0F6DEC2}" name="PAT MO (€)" dataDxfId="112">
      <calculatedColumnFormula>IFERROR(SuiviExec[[#This Row],[PAT MO Etude (€)]]+SuiviExec[[#This Row],[PAT MO Agent (heure)]]*Taux_Horaire_Agent,0)</calculatedColumnFormula>
    </tableColumn>
    <tableColumn id="38" xr3:uid="{89A20DD2-1EE7-4BB8-85B3-8348C3E49126}" name="PAT Matériel (€)" dataDxfId="111">
      <calculatedColumnFormula>SuiviExec[[#This Row],[Budget Matériel (€)]]</calculatedColumnFormula>
    </tableColumn>
    <tableColumn id="39" xr3:uid="{6CAD4DD0-1FA9-4775-B15E-A7F7529D0A8C}" name="PAT ST (€)" dataDxfId="110">
      <calculatedColumnFormula>SuiviExec[[#This Row],[Budget ST (€)]]</calculatedColumnFormula>
    </tableColumn>
    <tableColumn id="40" xr3:uid="{4D85846E-0773-4540-9A7C-AFCDFCECF887}" name="PAT Coût Total (€)" dataDxfId="109">
      <calculatedColumnFormula>SUM(SuiviExec[[#This Row],[PAT MO (€)]:[PAT ST (€)]])</calculatedColumnFormula>
    </tableColumn>
    <tableColumn id="41" xr3:uid="{1CB8FDB5-7445-4F3F-8A55-92940151EFA6}" name="PAT CA (€)" dataDxfId="108"/>
    <tableColumn id="42" xr3:uid="{F9712ADB-B69D-4080-B408-EAE36609CC2C}" name="PAT Marge (€)" dataDxfId="107">
      <calculatedColumnFormula>SuiviExec[[#This Row],[PAT CA (€)]]-SuiviExec[[#This Row],[PAT Coût Total (€)]]</calculatedColumnFormula>
    </tableColumn>
    <tableColumn id="43" xr3:uid="{527028D1-E335-4808-AE2D-394CA9A779D6}" name="PAT Marge (%)" dataDxfId="106" dataCellStyle="Pourcentage">
      <calculatedColumnFormula>IFERROR(SuiviExec[[#This Row],[PAT Marge (€)]]/SuiviExec[[#This Row],[PAT CA (€)]],"Saisir le PAT")</calculatedColumnFormula>
    </tableColumn>
    <tableColumn id="44" xr3:uid="{809993F9-A8D2-414B-9C96-98285597D0F8}" name="Description des risques et Opportunités" dataDxfId="105"/>
    <tableColumn id="45" xr3:uid="{EA457837-44B3-4311-82D0-6E534C114E47}" name="Montant Risques et Op." dataDxfId="104"/>
    <tableColumn id="46" xr3:uid="{CB5BB375-F3A8-4B2B-8BF0-3F933B2EF9C7}" name="Description des provisions" dataDxfId="103"/>
    <tableColumn id="47" xr3:uid="{A2F86781-DDA7-404F-920B-6288A7C8DC34}" name="Montant des provisions" dataDxfId="102"/>
    <tableColumn id="48" xr3:uid="{F4ECD685-B592-4084-AC8F-E37ED3D1FB27}" name="Situation méritée (CA Produit)" dataDxfId="0">
      <calculatedColumnFormula>SuiviExec[[#This Row],[CA Vendu initial (€)]]*SuiviExec[[#This Row],[Avancement physique du chantier (%)]]</calculatedColumnFormula>
    </tableColumn>
    <tableColumn id="49" xr3:uid="{BAB5BA29-0400-4F9F-A3BC-D211E10569FC}" name="Montant Facturé (€)" dataDxfId="101"/>
    <tableColumn id="50" xr3:uid="{8753F00D-09AC-4BB5-B849-46187CC43365}" name="FAE (€)" dataDxfId="100">
      <calculatedColumnFormula>IF(SuiviExec[[#This Row],[Avancement physique du chantier (%)]]=0,0,SuiviExec[[#This Row],[Situation méritée (CA Produit)]]-SuiviExec[[#This Row],[Montant Facturé (€)]])</calculatedColumnFormula>
    </tableColumn>
    <tableColumn id="51" xr3:uid="{4962E88A-1CEF-4988-B939-C89ACC587152}" name="Montant Encaissé (€)" dataDxfId="99"/>
    <tableColumn id="52" xr3:uid="{1052236F-D8C0-440A-9026-BE41A6FBBD16}" name="Couverture d'en-cours" dataDxfId="98">
      <calculatedColumnFormula>IFERROR(IF(OR(SuiviExec[[#This Row],[Réalisé Coût Total (€)]]=0,SuiviExec[[#This Row],[Montant Encaissé (€)]]=0),0,SuiviExec[[#This Row],[Montant Encaissé (€)]]/SuiviExec[[#This Row],[Réalisé Coût Total (€)]]),"")</calculatedColumnFormula>
    </tableColumn>
    <tableColumn id="53" xr3:uid="{043B0F54-80F1-4378-9F99-A2D9ED60C325}" name="CA Année N-1 (2020)" dataDxfId="97"/>
    <tableColumn id="54" xr3:uid="{5022F9BF-C9B0-44FA-BBF3-8FA505AA1B55}" name="CA 2021 - Réalisé" dataDxfId="96">
      <calculatedColumnFormula>SuiviExec[[#This Row],[Montant Facturé (€)]]-SuiviExec[[#This Row],[CA Année N-1 (2020)]]</calculatedColumnFormula>
    </tableColumn>
    <tableColumn id="55" xr3:uid="{BD48704A-AE39-4366-AE0D-F8D11F39852B}" name="CA 2021 - A réaliser" dataDxfId="95">
      <calculatedColumnFormula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calculatedColumnFormula>
    </tableColumn>
    <tableColumn id="56" xr3:uid="{078EF9E4-7AA3-41EF-BC51-E5F34BD7A44D}" name="CA 2022 - Projection" dataDxfId="94">
      <calculatedColumnFormula>SUM(SuiviExec[[#This Row],[Janvier 2022 CA]:[CA &gt; 2023]])</calculatedColumnFormula>
    </tableColumn>
    <tableColumn id="57" xr3:uid="{45A734F4-A143-4ED4-8B35-27CC3A154EBF}" name="Provision P.A.R." dataDxfId="93">
      <calculatedColumnFormula>SuiviExec[[#This Row],[Situation méritée (CA Produit)]]-SuiviExec[[#This Row],[CA Année N-1 (2020)]]-SuiviExec[[#This Row],[CA 2021 - Réalisé]]</calculatedColumnFormula>
    </tableColumn>
    <tableColumn id="144" xr3:uid="{B0765EA7-5A63-4436-AB4A-55B8F3F002BA}" name="Charges 2021 MO (€)" dataDxfId="3">
      <calculatedColumnFormula>SuiviExec[[#This Row],[Avancement physique du chantier (%)]]*SuiviExec[[#This Row],[Budget MO (€)]]</calculatedColumnFormula>
    </tableColumn>
    <tableColumn id="143" xr3:uid="{A9F2A0F7-1A2A-4909-B80A-395EA9C89270}" name="Charges 2021 Materiel (€)" dataDxfId="2">
      <calculatedColumnFormula>SuiviExec[[#This Row],[Avancement physique du chantier (%)]]*SuiviExec[[#This Row],[Budget Matériel (€)]]</calculatedColumnFormula>
    </tableColumn>
    <tableColumn id="142" xr3:uid="{936623AC-F9A9-4152-96BD-ED70E3A9925C}" name="Charges 2021 ST (€)" dataDxfId="1">
      <calculatedColumnFormula>SuiviExec[[#This Row],[Avancement physique du chantier (%)]]=SuiviExec[[#This Row],[Budget ST (€)]]</calculatedColumnFormula>
    </tableColumn>
    <tableColumn id="58" xr3:uid="{2ADF6165-3FDC-4954-8534-3205A5E2B899}" name="Charges 2021 à date" dataDxfId="92">
      <calculatedColumnFormula>SUM(SuiviExec[[#This Row],[Charges 2021 MO (€)]:[Charges 2021 ST (€)]])</calculatedColumnFormula>
    </tableColumn>
    <tableColumn id="59" xr3:uid="{8A6AB366-95CA-4586-9193-50F3B39A8E14}" name="Stock Chantier et FAP à date" dataDxfId="91"/>
    <tableColumn id="60" xr3:uid="{BD190B55-A6C1-4B62-848A-17F646BD9894}" name="Marge 2021 à date" dataDxfId="90">
      <calculatedColumnFormula>SuiviExec[[#This Row],[CA 2021 - Réalisé]]-SuiviExec[[#This Row],[Charges 2021 à date]]</calculatedColumnFormula>
    </tableColumn>
    <tableColumn id="61" xr3:uid="{E0408F07-FB37-4BEA-874E-E2CEE6198D4C}" name="Taux de marge 2021 à date" dataDxfId="89">
      <calculatedColumnFormula>IF(SuiviExec[[#This Row],[Avancement physique du chantier (%)]]&gt;0,IFERROR(SuiviExec[[#This Row],[Marge 2021 à date]]/SuiviExec[[#This Row],[CA 2021 - Réalisé]],""),"")</calculatedColumnFormula>
    </tableColumn>
    <tableColumn id="94" xr3:uid="{51409F08-F212-439F-9F01-0C7D12BCEAD8}" name="Statut du chantier" dataDxfId="88" dataCellStyle="Pourcentage">
      <calculatedColumnFormula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calculatedColumnFormula>
    </tableColumn>
    <tableColumn id="8" xr3:uid="{A9FA9AA6-9DFD-4E05-AA9D-89C4900307E2}" name="Commentaire" dataDxfId="87" dataCellStyle="Pourcentage"/>
    <tableColumn id="31" xr3:uid="{9B1E2956-9C6E-4B47-9D52-56FAC976D9A2}" name="Estimation Budget MO (heures)" dataDxfId="86">
      <calculatedColumnFormula>(SuiviExec[[#This Row],[Budget MO Etude (€)]]/Taux_Horaire_Etude+SuiviExec[[#This Row],[Budget MO Agent (heure)]])</calculatedColumnFormula>
    </tableColumn>
    <tableColumn id="113" xr3:uid="{6B509DD9-B703-49C2-B849-DFBB0624EB59}" name="MO : reste à planifier" dataDxfId="85">
      <calculatedColumnFormula>SuiviExec[[#This Row],[Estimation Budget MO (heures)]]-SUM(SuiviExec[[#This Row],[MO &lt; 2021]:[MO &gt; 2023]])</calculatedColumnFormula>
    </tableColumn>
    <tableColumn id="17" xr3:uid="{9F136265-9949-478F-97D0-67D1AB6C266F}" name="MO &lt; 2021" dataDxfId="84">
      <calculatedColumnFormula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10" xr3:uid="{56ADDBF8-C882-4126-8AA3-69524C73651A}" name="Janvier 2021 MO" dataDxfId="83">
      <calculatedColumnFormula>IF(AND(OR(AND(MONTH($T2)&lt;=MONTH(BK$3),YEAR($T2)=YEAR(BK$3)),YEAR($T2)&lt;YEAR(BK$3)),OR(AND(MONTH($U2)&gt;=MONTH(BK$3),YEAR($U2)=YEAR(BK$3)),,YEAR($U2)&gt;YEAR(BK$3))),$BI2/(
1+MONTH($U2)-MONTH($T2)+12*(YEAR($U2)-YEAR($T2))),0)</calculatedColumnFormula>
    </tableColumn>
    <tableColumn id="18" xr3:uid="{31CA2E89-E085-429A-AE37-32BF003A9216}" name="Février 2021 MO" dataDxfId="82">
      <calculatedColumnFormula>IF(AND(OR(AND(MONTH($T2)&lt;=MONTH(BL$3),YEAR($T2)=YEAR(BL$3)),YEAR($T2)&lt;YEAR(BL$3)),OR(AND(MONTH($U2)&gt;=MONTH(BL$3),YEAR($U2)=YEAR(BL$3)),,YEAR($U2)&gt;YEAR(BL$3))),$BI2/(
1+MONTH($U2)-MONTH($T2)+12*(YEAR($U2)-YEAR($T2))),0)</calculatedColumnFormula>
    </tableColumn>
    <tableColumn id="19" xr3:uid="{1C95D99C-7817-4DBB-BA1A-F6B61943F2B9}" name="Mars 2021 MO" dataDxfId="81">
      <calculatedColumnFormula>IF(AND(OR(AND(MONTH($T2)&lt;=MONTH(BM$3),YEAR($T2)=YEAR(BM$3)),YEAR($T2)&lt;YEAR(BM$3)),OR(AND(MONTH($U2)&gt;=MONTH(BM$3),YEAR($U2)=YEAR(BM$3)),,YEAR($U2)&gt;YEAR(BM$3))),$BI2/(
1+MONTH($U2)-MONTH($T2)+12*(YEAR($U2)-YEAR($T2))),0)</calculatedColumnFormula>
    </tableColumn>
    <tableColumn id="20" xr3:uid="{29A7E094-EF2F-4BAD-BAF8-D7CF2AAD50F6}" name="Avril 2021 MO" dataDxfId="80">
      <calculatedColumnFormula>IF(AND(OR(AND(MONTH($T2)&lt;=MONTH(BN$3),YEAR($T2)=YEAR(BN$3)),YEAR($T2)&lt;YEAR(BN$3)),OR(AND(MONTH($U2)&gt;=MONTH(BN$3),YEAR($U2)=YEAR(BN$3)),,YEAR($U2)&gt;YEAR(BN$3))),$BI2/(
1+MONTH($U2)-MONTH($T2)+12*(YEAR($U2)-YEAR($T2))),0)</calculatedColumnFormula>
    </tableColumn>
    <tableColumn id="21" xr3:uid="{80B56531-83AE-44A1-8321-1B0E7B388182}" name="Mai 2021 MO" dataDxfId="79">
      <calculatedColumnFormula>IF(AND(OR(AND(MONTH($T2)&lt;=MONTH(BO$3),YEAR($T2)=YEAR(BO$3)),YEAR($T2)&lt;YEAR(BO$3)),OR(AND(MONTH($U2)&gt;=MONTH(BO$3),YEAR($U2)=YEAR(BO$3)),,YEAR($U2)&gt;YEAR(BO$3))),$BI2/(
1+MONTH($U2)-MONTH($T2)+12*(YEAR($U2)-YEAR($T2))),0)</calculatedColumnFormula>
    </tableColumn>
    <tableColumn id="23" xr3:uid="{26050E29-D49D-4321-9778-1DBFE7BDF32B}" name="Juin 2021 MO" dataDxfId="78">
      <calculatedColumnFormula>IF(AND(OR(AND(MONTH($T2)&lt;=MONTH(BP$3),YEAR($T2)=YEAR(BP$3)),YEAR($T2)&lt;YEAR(BP$3)),OR(AND(MONTH($U2)&gt;=MONTH(BP$3),YEAR($U2)=YEAR(BP$3)),,YEAR($U2)&gt;YEAR(BP$3))),$BI2/(
1+MONTH($U2)-MONTH($T2)+12*(YEAR($U2)-YEAR($T2))),0)</calculatedColumnFormula>
    </tableColumn>
    <tableColumn id="24" xr3:uid="{F0A29B60-F2B8-45B6-95B6-0FECCCDDACE1}" name="Juillet 2021 MO" dataDxfId="77">
      <calculatedColumnFormula>IF(AND(OR(AND(MONTH($T2)&lt;=MONTH(BQ$3),YEAR($T2)=YEAR(BQ$3)),YEAR($T2)&lt;YEAR(BQ$3)),OR(AND(MONTH($U2)&gt;=MONTH(BQ$3),YEAR($U2)=YEAR(BQ$3)),,YEAR($U2)&gt;YEAR(BQ$3))),$BI2/(
1+MONTH($U2)-MONTH($T2)+12*(YEAR($U2)-YEAR($T2))),0)</calculatedColumnFormula>
    </tableColumn>
    <tableColumn id="62" xr3:uid="{FECE8A6A-2F8C-4BFB-AC5F-D058CD386236}" name="Août 2021 MO" dataDxfId="76">
      <calculatedColumnFormula>IF(AND(OR(AND(MONTH($T2)&lt;=MONTH(BR$3),YEAR($T2)=YEAR(BR$3)),YEAR($T2)&lt;YEAR(BR$3)),OR(AND(MONTH($U2)&gt;=MONTH(BR$3),YEAR($U2)=YEAR(BR$3)),,YEAR($U2)&gt;YEAR(BR$3))),$BI2/(
1+MONTH($U2)-MONTH($T2)+12*(YEAR($U2)-YEAR($T2))),0)</calculatedColumnFormula>
    </tableColumn>
    <tableColumn id="65" xr3:uid="{CEBD9713-4E88-4648-8BCE-6C386DE5220B}" name="Septembre 2021 MO" dataDxfId="75">
      <calculatedColumnFormula>IF(AND(OR(AND(MONTH($T2)&lt;=MONTH(BS$3),YEAR($T2)=YEAR(BS$3)),YEAR($T2)&lt;YEAR(BS$3)),OR(AND(MONTH($U2)&gt;=MONTH(BS$3),YEAR($U2)=YEAR(BS$3)),,YEAR($U2)&gt;YEAR(BS$3))),$BI2/(
1+MONTH($U2)-MONTH($T2)+12*(YEAR($U2)-YEAR($T2))),0)</calculatedColumnFormula>
    </tableColumn>
    <tableColumn id="66" xr3:uid="{6FCA713C-DA81-43EA-92BE-8EB7CAA67811}" name="Octobre 2021 MO" dataDxfId="74">
      <calculatedColumnFormula>IF(AND(OR(AND(MONTH($T2)&lt;=MONTH(BT$3),YEAR($T2)=YEAR(BT$3)),YEAR($T2)&lt;YEAR(BT$3)),OR(AND(MONTH($U2)&gt;=MONTH(BT$3),YEAR($U2)=YEAR(BT$3)),,YEAR($U2)&gt;YEAR(BT$3))),$BI2/(
1+MONTH($U2)-MONTH($T2)+12*(YEAR($U2)-YEAR($T2))),0)</calculatedColumnFormula>
    </tableColumn>
    <tableColumn id="67" xr3:uid="{5CB4D1EB-0A16-48E8-86F8-4CDC26B0E94A}" name="Novembre 2021 MO" dataDxfId="73">
      <calculatedColumnFormula>IF(AND(OR(AND(MONTH($T2)&lt;=MONTH(BU$3),YEAR($T2)=YEAR(BU$3)),YEAR($T2)&lt;YEAR(BU$3)),OR(AND(MONTH($U2)&gt;=MONTH(BU$3),YEAR($U2)=YEAR(BU$3)),,YEAR($U2)&gt;YEAR(BU$3))),$BI2/(
1+MONTH($U2)-MONTH($T2)+12*(YEAR($U2)-YEAR($T2))),0)</calculatedColumnFormula>
    </tableColumn>
    <tableColumn id="68" xr3:uid="{25A7B561-2813-4206-8EFC-36DB9777699A}" name="Décembre 2021 MO" dataDxfId="72">
      <calculatedColumnFormula>IF(AND(OR(AND(MONTH($T2)&lt;=MONTH(BV$3),YEAR($T2)=YEAR(BV$3)),YEAR($T2)&lt;YEAR(BV$3)),OR(AND(MONTH($U2)&gt;=MONTH(BV$3),YEAR($U2)=YEAR(BV$3)),,YEAR($U2)&gt;YEAR(BV$3))),$BI2/(
1+MONTH($U2)-MONTH($T2)+12*(YEAR($U2)-YEAR($T2))),0)</calculatedColumnFormula>
    </tableColumn>
    <tableColumn id="98" xr3:uid="{B46D3D40-3657-4959-8235-F472AE97517E}" name="Janvier 2022 MO" dataDxfId="71">
      <calculatedColumnFormula>IF(AND(OR(AND(MONTH($T2)&lt;=MONTH(BW$3),YEAR($T2)=YEAR(BW$3)),YEAR($T2)&lt;YEAR(BW$3)),OR(AND(MONTH($U2)&gt;=MONTH(BW$3),YEAR($U2)=YEAR(BW$3)),,YEAR($U2)&gt;YEAR(BW$3))),$BI2/(
1+MONTH($U2)-MONTH($T2)+12*(YEAR($U2)-YEAR($T2))),0)</calculatedColumnFormula>
    </tableColumn>
    <tableColumn id="99" xr3:uid="{E35725EA-066A-4CD0-A23F-D57F4304B372}" name="Février 2022 MO" dataDxfId="70">
      <calculatedColumnFormula>IF(AND(OR(AND(MONTH($T2)&lt;=MONTH(BX$3),YEAR($T2)=YEAR(BX$3)),YEAR($T2)&lt;YEAR(BX$3)),OR(AND(MONTH($U2)&gt;=MONTH(BX$3),YEAR($U2)=YEAR(BX$3)),,YEAR($U2)&gt;YEAR(BX$3))),$BI2/(
1+MONTH($U2)-MONTH($T2)+12*(YEAR($U2)-YEAR($T2))),0)</calculatedColumnFormula>
    </tableColumn>
    <tableColumn id="100" xr3:uid="{816CB39D-679C-4722-8BBB-09A1591682F0}" name="Mars 2022 MO" dataDxfId="69">
      <calculatedColumnFormula>IF(AND(OR(AND(MONTH($T2)&lt;=MONTH(BY$3),YEAR($T2)=YEAR(BY$3)),YEAR($T2)&lt;YEAR(BY$3)),OR(AND(MONTH($U2)&gt;=MONTH(BY$3),YEAR($U2)=YEAR(BY$3)),,YEAR($U2)&gt;YEAR(BY$3))),$BI2/(
1+MONTH($U2)-MONTH($T2)+12*(YEAR($U2)-YEAR($T2))),0)</calculatedColumnFormula>
    </tableColumn>
    <tableColumn id="101" xr3:uid="{CA8E7459-380D-4B6B-8C78-B7956C6A6783}" name="Avril 2022 MO" dataDxfId="68">
      <calculatedColumnFormula>IF(AND(OR(AND(MONTH($T2)&lt;=MONTH(BZ$3),YEAR($T2)=YEAR(BZ$3)),YEAR($T2)&lt;YEAR(BZ$3)),OR(AND(MONTH($U2)&gt;=MONTH(BZ$3),YEAR($U2)=YEAR(BZ$3)),,YEAR($U2)&gt;YEAR(BZ$3))),$BI2/(
1+MONTH($U2)-MONTH($T2)+12*(YEAR($U2)-YEAR($T2))),0)</calculatedColumnFormula>
    </tableColumn>
    <tableColumn id="102" xr3:uid="{C990E104-4C62-4D53-8E51-8361EC7E1E41}" name="Mai 2022 MO" dataDxfId="67">
      <calculatedColumnFormula>IF(AND(OR(AND(MONTH($T2)&lt;=MONTH(CA$3),YEAR($T2)=YEAR(CA$3)),YEAR($T2)&lt;YEAR(CA$3)),OR(AND(MONTH($U2)&gt;=MONTH(CA$3),YEAR($U2)=YEAR(CA$3)),,YEAR($U2)&gt;YEAR(CA$3))),$BI2/(
1+MONTH($U2)-MONTH($T2)+12*(YEAR($U2)-YEAR($T2))),0)</calculatedColumnFormula>
    </tableColumn>
    <tableColumn id="103" xr3:uid="{53A5D22B-1B03-4A0F-A2A6-B53C94D23EA2}" name="Juin 2022 MO" dataDxfId="66">
      <calculatedColumnFormula>IF(AND(OR(AND(MONTH($T2)&lt;=MONTH(CB$3),YEAR($T2)=YEAR(CB$3)),YEAR($T2)&lt;YEAR(CB$3)),OR(AND(MONTH($U2)&gt;=MONTH(CB$3),YEAR($U2)=YEAR(CB$3)),,YEAR($U2)&gt;YEAR(CB$3))),$BI2/(
1+MONTH($U2)-MONTH($T2)+12*(YEAR($U2)-YEAR($T2))),0)</calculatedColumnFormula>
    </tableColumn>
    <tableColumn id="104" xr3:uid="{3B50B51D-CBAF-4278-B2CE-D1311E84D499}" name="Juillet 2022 MO" dataDxfId="65">
      <calculatedColumnFormula>IF(AND(OR(AND(MONTH($T2)&lt;=MONTH(CC$3),YEAR($T2)=YEAR(CC$3)),YEAR($T2)&lt;YEAR(CC$3)),OR(AND(MONTH($U2)&gt;=MONTH(CC$3),YEAR($U2)=YEAR(CC$3)),,YEAR($U2)&gt;YEAR(CC$3))),$BI2/(
1+MONTH($U2)-MONTH($T2)+12*(YEAR($U2)-YEAR($T2))),0)</calculatedColumnFormula>
    </tableColumn>
    <tableColumn id="105" xr3:uid="{07868EBA-56E3-4633-BD5B-C2433B1B3562}" name="Août 2022 MO" dataDxfId="64">
      <calculatedColumnFormula>IF(AND(OR(AND(MONTH($T2)&lt;=MONTH(CD$3),YEAR($T2)=YEAR(CD$3)),YEAR($T2)&lt;YEAR(CD$3)),OR(AND(MONTH($U2)&gt;=MONTH(CD$3),YEAR($U2)=YEAR(CD$3)),,YEAR($U2)&gt;YEAR(CD$3))),$BI2/(
1+MONTH($U2)-MONTH($T2)+12*(YEAR($U2)-YEAR($T2))),0)</calculatedColumnFormula>
    </tableColumn>
    <tableColumn id="106" xr3:uid="{B4F6F6A2-F2DE-44A1-9AB7-583250C44C4C}" name="Septembre 2022 MO" dataDxfId="63">
      <calculatedColumnFormula>IF(AND(OR(AND(MONTH($T2)&lt;=MONTH(CE$3),YEAR($T2)=YEAR(CE$3)),YEAR($T2)&lt;YEAR(CE$3)),OR(AND(MONTH($U2)&gt;=MONTH(CE$3),YEAR($U2)=YEAR(CE$3)),,YEAR($U2)&gt;YEAR(CE$3))),$BI2/(
1+MONTH($U2)-MONTH($T2)+12*(YEAR($U2)-YEAR($T2))),0)</calculatedColumnFormula>
    </tableColumn>
    <tableColumn id="107" xr3:uid="{25A5AC78-9F94-4D50-857D-C10247D0F5AA}" name="Octobre 2022 MO" dataDxfId="62">
      <calculatedColumnFormula>IF(AND(OR(AND(MONTH($T2)&lt;=MONTH(CF$3),YEAR($T2)=YEAR(CF$3)),YEAR($T2)&lt;YEAR(CF$3)),OR(AND(MONTH($U2)&gt;=MONTH(CF$3),YEAR($U2)=YEAR(CF$3)),,YEAR($U2)&gt;YEAR(CF$3))),$BI2/(
1+MONTH($U2)-MONTH($T2)+12*(YEAR($U2)-YEAR($T2))),0)</calculatedColumnFormula>
    </tableColumn>
    <tableColumn id="108" xr3:uid="{94AAEFAB-0325-41AD-A5AF-506F4DAD0793}" name="Novembre 2022 MO" dataDxfId="61">
      <calculatedColumnFormula>IF(AND(OR(AND(MONTH($T2)&lt;=MONTH(CG$3),YEAR($T2)=YEAR(CG$3)),YEAR($T2)&lt;YEAR(CG$3)),OR(AND(MONTH($U2)&gt;=MONTH(CG$3),YEAR($U2)=YEAR(CG$3)),,YEAR($U2)&gt;YEAR(CG$3))),$BI2/(
1+MONTH($U2)-MONTH($T2)+12*(YEAR($U2)-YEAR($T2))),0)</calculatedColumnFormula>
    </tableColumn>
    <tableColumn id="109" xr3:uid="{7A4E11A1-A471-43B2-86BB-736BB43DCE9E}" name="Décembre 2022 MO" dataDxfId="60">
      <calculatedColumnFormula>IF(AND(OR(AND(MONTH($T2)&lt;=MONTH(CH$3),YEAR($T2)=YEAR(CH$3)),YEAR($T2)&lt;YEAR(CH$3)),OR(AND(MONTH($U2)&gt;=MONTH(CH$3),YEAR($U2)=YEAR(CH$3)),,YEAR($U2)&gt;YEAR(CH$3))),$BI2/(
1+MONTH($U2)-MONTH($T2)+12*(YEAR($U2)-YEAR($T2))),0)</calculatedColumnFormula>
    </tableColumn>
    <tableColumn id="111" xr3:uid="{2A32EE03-0BA5-4F39-BAFE-5361D45A0833}" name="Janvier 2023 MO" dataDxfId="59">
      <calculatedColumnFormula>IF(AND(OR(AND(MONTH($T2)&lt;=MONTH(CI$3),YEAR($T2)=YEAR(CI$3)),YEAR($T2)&lt;YEAR(CI$3)),OR(AND(MONTH($U2)&gt;=MONTH(CI$3),YEAR($U2)=YEAR(CI$3)),,YEAR($U2)&gt;YEAR(CI$3))),$BI2/(
1+MONTH($U2)-MONTH($T2)+12*(YEAR($U2)-YEAR($T2))),0)</calculatedColumnFormula>
    </tableColumn>
    <tableColumn id="117" xr3:uid="{DB74EBD2-52F0-41CE-A0D3-8F6A4F1D235F}" name="Février 2023 MO" dataDxfId="58">
      <calculatedColumnFormula>IF(AND(OR(AND(MONTH($T2)&lt;=MONTH(CJ$3),YEAR($T2)=YEAR(CJ$3)),YEAR($T2)&lt;YEAR(CJ$3)),OR(AND(MONTH($U2)&gt;=MONTH(CJ$3),YEAR($U2)=YEAR(CJ$3)),,YEAR($U2)&gt;YEAR(CJ$3))),$BI2/(
1+MONTH($U2)-MONTH($T2)+12*(YEAR($U2)-YEAR($T2))),0)</calculatedColumnFormula>
    </tableColumn>
    <tableColumn id="118" xr3:uid="{6CB34113-AF58-404B-ABA6-C6F9C4E6BEBB}" name="Mars 2023 MO" dataDxfId="57">
      <calculatedColumnFormula>IF(AND(OR(AND(MONTH($T2)&lt;=MONTH(CK$3),YEAR($T2)=YEAR(CK$3)),YEAR($T2)&lt;YEAR(CK$3)),OR(AND(MONTH($U2)&gt;=MONTH(CK$3),YEAR($U2)=YEAR(CK$3)),,YEAR($U2)&gt;YEAR(CK$3))),$BI2/(
1+MONTH($U2)-MONTH($T2)+12*(YEAR($U2)-YEAR($T2))),0)</calculatedColumnFormula>
    </tableColumn>
    <tableColumn id="119" xr3:uid="{8190A396-D99E-428B-9CD9-ECCE501A007E}" name="Avril 2023 MO" dataDxfId="56">
      <calculatedColumnFormula>IF(AND(OR(AND(MONTH($T2)&lt;=MONTH(CL$3),YEAR($T2)=YEAR(CL$3)),YEAR($T2)&lt;YEAR(CL$3)),OR(AND(MONTH($U2)&gt;=MONTH(CL$3),YEAR($U2)=YEAR(CL$3)),,YEAR($U2)&gt;YEAR(CL$3))),$BI2/(
1+MONTH($U2)-MONTH($T2)+12*(YEAR($U2)-YEAR($T2))),0)</calculatedColumnFormula>
    </tableColumn>
    <tableColumn id="120" xr3:uid="{FAE66FE3-0701-4DB4-89F1-814450584489}" name="Mai 2023 MO" dataDxfId="55">
      <calculatedColumnFormula>IF(AND(OR(AND(MONTH($T2)&lt;=MONTH(CM$3),YEAR($T2)=YEAR(CM$3)),YEAR($T2)&lt;YEAR(CM$3)),OR(AND(MONTH($U2)&gt;=MONTH(CM$3),YEAR($U2)=YEAR(CM$3)),,YEAR($U2)&gt;YEAR(CM$3))),$BI2/(
1+MONTH($U2)-MONTH($T2)+12*(YEAR($U2)-YEAR($T2))),0)</calculatedColumnFormula>
    </tableColumn>
    <tableColumn id="121" xr3:uid="{AB708187-8C75-43A9-B2C2-A2F3CD06BDF3}" name="Juin 2023 MO" dataDxfId="54">
      <calculatedColumnFormula>IF(AND(OR(AND(MONTH($T2)&lt;=MONTH(CN$3),YEAR($T2)=YEAR(CN$3)),YEAR($T2)&lt;YEAR(CN$3)),OR(AND(MONTH($U2)&gt;=MONTH(CN$3),YEAR($U2)=YEAR(CN$3)),,YEAR($U2)&gt;YEAR(CN$3))),$BI2/(
1+MONTH($U2)-MONTH($T2)+12*(YEAR($U2)-YEAR($T2))),0)</calculatedColumnFormula>
    </tableColumn>
    <tableColumn id="122" xr3:uid="{32F828DC-6FDF-4509-A5EF-1E62D47B8895}" name="Juillet 2023 MO" dataDxfId="53">
      <calculatedColumnFormula>IF(AND(OR(AND(MONTH($T2)&lt;=MONTH(CO$3),YEAR($T2)=YEAR(CO$3)),YEAR($T2)&lt;YEAR(CO$3)),OR(AND(MONTH($U2)&gt;=MONTH(CO$3),YEAR($U2)=YEAR(CO$3)),,YEAR($U2)&gt;YEAR(CO$3))),$BI2/(
1+MONTH($U2)-MONTH($T2)+12*(YEAR($U2)-YEAR($T2))),0)</calculatedColumnFormula>
    </tableColumn>
    <tableColumn id="123" xr3:uid="{3AEB4D1C-B5F4-41BC-94AC-2C6860801BCC}" name="Août 2023 MO" dataDxfId="52">
      <calculatedColumnFormula>IF(AND(OR(AND(MONTH($T2)&lt;=MONTH(CP$3),YEAR($T2)=YEAR(CP$3)),YEAR($T2)&lt;YEAR(CP$3)),OR(AND(MONTH($U2)&gt;=MONTH(CP$3),YEAR($U2)=YEAR(CP$3)),,YEAR($U2)&gt;YEAR(CP$3))),$BI2/(
1+MONTH($U2)-MONTH($T2)+12*(YEAR($U2)-YEAR($T2))),0)</calculatedColumnFormula>
    </tableColumn>
    <tableColumn id="124" xr3:uid="{1C740DD8-3B36-4E2E-8C6B-0B9AC1A118E6}" name="Septembre 2023 MO" dataDxfId="51">
      <calculatedColumnFormula>IF(AND(OR(AND(MONTH($T2)&lt;=MONTH(CQ$3),YEAR($T2)=YEAR(CQ$3)),YEAR($T2)&lt;YEAR(CQ$3)),OR(AND(MONTH($U2)&gt;=MONTH(CQ$3),YEAR($U2)=YEAR(CQ$3)),,YEAR($U2)&gt;YEAR(CQ$3))),$BI2/(
1+MONTH($U2)-MONTH($T2)+12*(YEAR($U2)-YEAR($T2))),0)</calculatedColumnFormula>
    </tableColumn>
    <tableColumn id="125" xr3:uid="{E53B4D20-626E-4354-A49F-C82A3AB65FDF}" name="Octobre 2023 MO" dataDxfId="50">
      <calculatedColumnFormula>IF(AND(OR(AND(MONTH($T2)&lt;=MONTH(CR$3),YEAR($T2)=YEAR(CR$3)),YEAR($T2)&lt;YEAR(CR$3)),OR(AND(MONTH($U2)&gt;=MONTH(CR$3),YEAR($U2)=YEAR(CR$3)),,YEAR($U2)&gt;YEAR(CR$3))),$BI2/(
1+MONTH($U2)-MONTH($T2)+12*(YEAR($U2)-YEAR($T2))),0)</calculatedColumnFormula>
    </tableColumn>
    <tableColumn id="126" xr3:uid="{F841A0BA-0173-4760-8C7C-DBA73AC87AAD}" name="Novembre 2023 MO" dataDxfId="49">
      <calculatedColumnFormula>IF(AND(OR(AND(MONTH($T2)&lt;=MONTH(CS$3),YEAR($T2)=YEAR(CS$3)),YEAR($T2)&lt;YEAR(CS$3)),OR(AND(MONTH($U2)&gt;=MONTH(CS$3),YEAR($U2)=YEAR(CS$3)),,YEAR($U2)&gt;YEAR(CS$3))),$BI2/(
1+MONTH($U2)-MONTH($T2)+12*(YEAR($U2)-YEAR($T2))),0)</calculatedColumnFormula>
    </tableColumn>
    <tableColumn id="127" xr3:uid="{4A4EC0CC-4F8F-4E57-A0E7-2FC5F4EF79C1}" name="Décembre 2023 MO" dataDxfId="48">
      <calculatedColumnFormula>IF(AND(OR(AND(MONTH($T2)&lt;=MONTH(CT$3),YEAR($T2)=YEAR(CT$3)),YEAR($T2)&lt;YEAR(CT$3)),OR(AND(MONTH($U2)&gt;=MONTH(CT$3),YEAR($U2)=YEAR(CT$3)),,YEAR($U2)&gt;YEAR(CT$3))),$BI2/(
1+MONTH($U2)-MONTH($T2)+12*(YEAR($U2)-YEAR($T2))),0)</calculatedColumnFormula>
    </tableColumn>
    <tableColumn id="110" xr3:uid="{57FDFD33-C81C-4623-9D18-803D4AA325DA}" name="MO &gt; 2023" dataDxfId="47">
      <calculatedColumnFormula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112" xr3:uid="{68A5FE55-B2FF-4B68-9C6F-B436F206849E}" name="Colonne282" dataDxfId="46"/>
    <tableColumn id="63" xr3:uid="{E7FA856F-1C25-4386-BE9E-80A43471B81E}" name="CA : reste à planifier" dataDxfId="45">
      <calculatedColumnFormula>SuiviExec[[#This Row],[CA Vendu initial (€)]]-SUM(SuiviExec[[#This Row],[CA &lt; 2021]:[CA &gt; 2023]])</calculatedColumnFormula>
    </tableColumn>
    <tableColumn id="64" xr3:uid="{CCF4BAD4-16D3-4E6A-AB8E-02737FB8BB4D}" name="CA &lt; 2021" dataDxfId="44">
      <calculatedColumnFormula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69" xr3:uid="{52E8384C-FF15-4882-8354-3609E33CEFBD}" name="Janvier 2021 CA" dataDxfId="43">
      <calculatedColumnFormula>IF(AND(OR(AND(MONTH($T2)&lt;=MONTH(CY$3),YEAR($T2)=YEAR(CY$3)),YEAR($T2)&lt;YEAR(CY$3)),OR(AND(MONTH($U2)&gt;=MONTH(CY$3),YEAR($U2)=YEAR(CY$3)),,YEAR($U2)&gt;YEAR(CY$3))),
$K2/(1+MONTH($U2)-MONTH($T2)+12*(YEAR($U2)-YEAR($T2))),0)</calculatedColumnFormula>
    </tableColumn>
    <tableColumn id="70" xr3:uid="{FF4DAFD0-0868-4B80-A87A-3F00B7AAAF5F}" name="Février 2021 CA" dataDxfId="42">
      <calculatedColumnFormula>IF(AND(OR(AND(MONTH($T2)&lt;=MONTH(CZ$3),YEAR($T2)=YEAR(CZ$3)),YEAR($T2)&lt;YEAR(CZ$3)),OR(AND(MONTH($U2)&gt;=MONTH(CZ$3),YEAR($U2)=YEAR(CZ$3)),,YEAR($U2)&gt;YEAR(CZ$3))),
$K2/(1+MONTH($U2)-MONTH($T2)+12*(YEAR($U2)-YEAR($T2))),0)</calculatedColumnFormula>
    </tableColumn>
    <tableColumn id="71" xr3:uid="{CADACF71-4D13-4B7D-B990-8B7DEFBC78BE}" name="Mars 2021 CA" dataDxfId="41">
      <calculatedColumnFormula>IF(AND(OR(AND(MONTH($T2)&lt;=MONTH(DA$3),YEAR($T2)=YEAR(DA$3)),YEAR($T2)&lt;YEAR(DA$3)),OR(AND(MONTH($U2)&gt;=MONTH(DA$3),YEAR($U2)=YEAR(DA$3)),,YEAR($U2)&gt;YEAR(DA$3))),
$K2/(1+MONTH($U2)-MONTH($T2)+12*(YEAR($U2)-YEAR($T2))),0)</calculatedColumnFormula>
    </tableColumn>
    <tableColumn id="72" xr3:uid="{0D9F07D1-EEF5-4AFE-A815-56EE86AB9C33}" name="Avril 2021 CA" dataDxfId="40">
      <calculatedColumnFormula>IF(AND(OR(AND(MONTH($T2)&lt;=MONTH(DB$3),YEAR($T2)=YEAR(DB$3)),YEAR($T2)&lt;YEAR(DB$3)),OR(AND(MONTH($U2)&gt;=MONTH(DB$3),YEAR($U2)=YEAR(DB$3)),,YEAR($U2)&gt;YEAR(DB$3))),
$K2/(1+MONTH($U2)-MONTH($T2)+12*(YEAR($U2)-YEAR($T2))),0)</calculatedColumnFormula>
    </tableColumn>
    <tableColumn id="73" xr3:uid="{5F29980A-A48E-4504-A263-62B274247AF8}" name="Mai 2021 CA" dataDxfId="39">
      <calculatedColumnFormula>IF(AND(OR(AND(MONTH($T2)&lt;=MONTH(DC$3),YEAR($T2)=YEAR(DC$3)),YEAR($T2)&lt;YEAR(DC$3)),OR(AND(MONTH($U2)&gt;=MONTH(DC$3),YEAR($U2)=YEAR(DC$3)),,YEAR($U2)&gt;YEAR(DC$3))),
$K2/(1+MONTH($U2)-MONTH($T2)+12*(YEAR($U2)-YEAR($T2))),0)</calculatedColumnFormula>
    </tableColumn>
    <tableColumn id="74" xr3:uid="{C88EA8A1-B64F-4368-82ED-A8EB2AD8CF40}" name="Juin 2021 CA" dataDxfId="38">
      <calculatedColumnFormula>IF(AND(OR(AND(MONTH($T2)&lt;=MONTH(DD$3),YEAR($T2)=YEAR(DD$3)),YEAR($T2)&lt;YEAR(DD$3)),OR(AND(MONTH($U2)&gt;=MONTH(DD$3),YEAR($U2)=YEAR(DD$3)),,YEAR($U2)&gt;YEAR(DD$3))),
$K2/(1+MONTH($U2)-MONTH($T2)+12*(YEAR($U2)-YEAR($T2))),0)</calculatedColumnFormula>
    </tableColumn>
    <tableColumn id="75" xr3:uid="{E856C70A-D58E-4624-9261-35B7F5F50FA5}" name="Juillet 2021 CA" dataDxfId="37">
      <calculatedColumnFormula>IF(AND(OR(AND(MONTH($T2)&lt;=MONTH(DE$3),YEAR($T2)=YEAR(DE$3)),YEAR($T2)&lt;YEAR(DE$3)),OR(AND(MONTH($U2)&gt;=MONTH(DE$3),YEAR($U2)=YEAR(DE$3)),,YEAR($U2)&gt;YEAR(DE$3))),
$K2/(1+MONTH($U2)-MONTH($T2)+12*(YEAR($U2)-YEAR($T2))),0)</calculatedColumnFormula>
    </tableColumn>
    <tableColumn id="76" xr3:uid="{ED378608-AE5D-462E-9D00-71419B9FFC29}" name="Août 2021 CA" dataDxfId="36">
      <calculatedColumnFormula>IF(AND(OR(AND(MONTH($T2)&lt;=MONTH(DF$3),YEAR($T2)=YEAR(DF$3)),YEAR($T2)&lt;YEAR(DF$3)),OR(AND(MONTH($U2)&gt;=MONTH(DF$3),YEAR($U2)=YEAR(DF$3)),,YEAR($U2)&gt;YEAR(DF$3))),
$K2/(1+MONTH($U2)-MONTH($T2)+12*(YEAR($U2)-YEAR($T2))),0)</calculatedColumnFormula>
    </tableColumn>
    <tableColumn id="90" xr3:uid="{436DAAC0-15D3-47A8-8406-C4590FF865C1}" name="Septembre 2021 CA" dataDxfId="35">
      <calculatedColumnFormula>IF(AND(OR(AND(MONTH($T2)&lt;=MONTH(DG$3),YEAR($T2)=YEAR(DG$3)),YEAR($T2)&lt;YEAR(DG$3)),OR(AND(MONTH($U2)&gt;=MONTH(DG$3),YEAR($U2)=YEAR(DG$3)),,YEAR($U2)&gt;YEAR(DG$3))),
$K2/(1+MONTH($U2)-MONTH($T2)+12*(YEAR($U2)-YEAR($T2))),0)</calculatedColumnFormula>
    </tableColumn>
    <tableColumn id="91" xr3:uid="{3A99A94F-DB67-4B77-B55D-F33740378872}" name="Octobre 2021 CA" dataDxfId="34">
      <calculatedColumnFormula>IF(AND(OR(AND(MONTH($T2)&lt;=MONTH(DH$3),YEAR($T2)=YEAR(DH$3)),YEAR($T2)&lt;YEAR(DH$3)),OR(AND(MONTH($U2)&gt;=MONTH(DH$3),YEAR($U2)=YEAR(DH$3)),,YEAR($U2)&gt;YEAR(DH$3))),
$K2/(1+MONTH($U2)-MONTH($T2)+12*(YEAR($U2)-YEAR($T2))),0)</calculatedColumnFormula>
    </tableColumn>
    <tableColumn id="92" xr3:uid="{5D70B2D8-83C0-41B5-8672-368196AFC250}" name="Novembre 2021 CA" dataDxfId="33">
      <calculatedColumnFormula>IF(AND(OR(AND(MONTH($T2)&lt;=MONTH(DI$3),YEAR($T2)=YEAR(DI$3)),YEAR($T2)&lt;YEAR(DI$3)),OR(AND(MONTH($U2)&gt;=MONTH(DI$3),YEAR($U2)=YEAR(DI$3)),,YEAR($U2)&gt;YEAR(DI$3))),
$K2/(1+MONTH($U2)-MONTH($T2)+12*(YEAR($U2)-YEAR($T2))),0)</calculatedColumnFormula>
    </tableColumn>
    <tableColumn id="93" xr3:uid="{95F8FDDE-5A5A-4FB7-8921-64F2AF8E009E}" name="Décembre 2021 CA" dataDxfId="32">
      <calculatedColumnFormula>IF(AND(OR(AND(MONTH($T2)&lt;=MONTH(DJ$3),YEAR($T2)=YEAR(DJ$3)),YEAR($T2)&lt;YEAR(DJ$3)),OR(AND(MONTH($U2)&gt;=MONTH(DJ$3),YEAR($U2)=YEAR(DJ$3)),,YEAR($U2)&gt;YEAR(DJ$3))),
$K2/(1+MONTH($U2)-MONTH($T2)+12*(YEAR($U2)-YEAR($T2))),0)</calculatedColumnFormula>
    </tableColumn>
    <tableColumn id="77" xr3:uid="{46134004-35D4-4C63-9A60-10CA57FA4C12}" name="Janvier 2022 CA" dataDxfId="31">
      <calculatedColumnFormula>IF(AND(OR(AND(MONTH($T2)&lt;=MONTH(DK$3),YEAR($T2)=YEAR(DK$3)),YEAR($T2)&lt;YEAR(DK$3)),OR(AND(MONTH($U2)&gt;=MONTH(DK$3),YEAR($U2)=YEAR(DK$3)),,YEAR($U2)&gt;YEAR(DK$3))),
$K2/(1+MONTH($U2)-MONTH($T2)+12*(YEAR($U2)-YEAR($T2))),0)</calculatedColumnFormula>
    </tableColumn>
    <tableColumn id="78" xr3:uid="{AEED2E85-9325-4F08-A0F3-090DC2BF5FD1}" name="Février 2022 CA" dataDxfId="30">
      <calculatedColumnFormula>IF(AND(OR(AND(MONTH($T2)&lt;=MONTH(DL$3),YEAR($T2)=YEAR(DL$3)),YEAR($T2)&lt;YEAR(DL$3)),OR(AND(MONTH($U2)&gt;=MONTH(DL$3),YEAR($U2)=YEAR(DL$3)),,YEAR($U2)&gt;YEAR(DL$3))),
$K2/(1+MONTH($U2)-MONTH($T2)+12*(YEAR($U2)-YEAR($T2))),0)</calculatedColumnFormula>
    </tableColumn>
    <tableColumn id="79" xr3:uid="{B1EEF640-9504-4568-94ED-6C013A277A48}" name="Mars 2022 CA" dataDxfId="29">
      <calculatedColumnFormula>IF(AND(OR(AND(MONTH($T2)&lt;=MONTH(DM$3),YEAR($T2)=YEAR(DM$3)),YEAR($T2)&lt;YEAR(DM$3)),OR(AND(MONTH($U2)&gt;=MONTH(DM$3),YEAR($U2)=YEAR(DM$3)),,YEAR($U2)&gt;YEAR(DM$3))),
$K2/(1+MONTH($U2)-MONTH($T2)+12*(YEAR($U2)-YEAR($T2))),0)</calculatedColumnFormula>
    </tableColumn>
    <tableColumn id="80" xr3:uid="{935CCDC4-D1B8-49E1-A5A0-377093F6C069}" name="Avril 2022 CA" dataDxfId="28">
      <calculatedColumnFormula>IF(AND(OR(AND(MONTH($T2)&lt;=MONTH(DN$3),YEAR($T2)=YEAR(DN$3)),YEAR($T2)&lt;YEAR(DN$3)),OR(AND(MONTH($U2)&gt;=MONTH(DN$3),YEAR($U2)=YEAR(DN$3)),,YEAR($U2)&gt;YEAR(DN$3))),
$K2/(1+MONTH($U2)-MONTH($T2)+12*(YEAR($U2)-YEAR($T2))),0)</calculatedColumnFormula>
    </tableColumn>
    <tableColumn id="81" xr3:uid="{E66144C6-A053-4E15-B522-8AB08FFD5649}" name="Mai 2022 CA" dataDxfId="27">
      <calculatedColumnFormula>IF(AND(OR(AND(MONTH($T2)&lt;=MONTH(DO$3),YEAR($T2)=YEAR(DO$3)),YEAR($T2)&lt;YEAR(DO$3)),OR(AND(MONTH($U2)&gt;=MONTH(DO$3),YEAR($U2)=YEAR(DO$3)),,YEAR($U2)&gt;YEAR(DO$3))),
$K2/(1+MONTH($U2)-MONTH($T2)+12*(YEAR($U2)-YEAR($T2))),0)</calculatedColumnFormula>
    </tableColumn>
    <tableColumn id="82" xr3:uid="{C267A17F-B6EC-4149-8C0D-C7CB52ADD8D5}" name="Juin 2022 CA" dataDxfId="26">
      <calculatedColumnFormula>IF(AND(OR(AND(MONTH($T2)&lt;=MONTH(DP$3),YEAR($T2)=YEAR(DP$3)),YEAR($T2)&lt;YEAR(DP$3)),OR(AND(MONTH($U2)&gt;=MONTH(DP$3),YEAR($U2)=YEAR(DP$3)),,YEAR($U2)&gt;YEAR(DP$3))),
$K2/(1+MONTH($U2)-MONTH($T2)+12*(YEAR($U2)-YEAR($T2))),0)</calculatedColumnFormula>
    </tableColumn>
    <tableColumn id="83" xr3:uid="{79142236-9939-4DEA-AC40-399744D79419}" name="Juillet 2022 CA" dataDxfId="25">
      <calculatedColumnFormula>IF(AND(OR(AND(MONTH($T2)&lt;=MONTH(DQ$3),YEAR($T2)=YEAR(DQ$3)),YEAR($T2)&lt;YEAR(DQ$3)),OR(AND(MONTH($U2)&gt;=MONTH(DQ$3),YEAR($U2)=YEAR(DQ$3)),,YEAR($U2)&gt;YEAR(DQ$3))),
$K2/(1+MONTH($U2)-MONTH($T2)+12*(YEAR($U2)-YEAR($T2))),0)</calculatedColumnFormula>
    </tableColumn>
    <tableColumn id="84" xr3:uid="{88616ECD-FEC5-4198-8142-28A8E724E149}" name="Août 2022 CA" dataDxfId="24">
      <calculatedColumnFormula>IF(AND(OR(AND(MONTH($T2)&lt;=MONTH(DR$3),YEAR($T2)=YEAR(DR$3)),YEAR($T2)&lt;YEAR(DR$3)),OR(AND(MONTH($U2)&gt;=MONTH(DR$3),YEAR($U2)=YEAR(DR$3)),,YEAR($U2)&gt;YEAR(DR$3))),
$K2/(1+MONTH($U2)-MONTH($T2)+12*(YEAR($U2)-YEAR($T2))),0)</calculatedColumnFormula>
    </tableColumn>
    <tableColumn id="85" xr3:uid="{602FFDC6-1E3A-404F-8A49-6304202A60BB}" name="Septembre 2022 CA" dataDxfId="23">
      <calculatedColumnFormula>IF(AND(OR(AND(MONTH($T2)&lt;=MONTH(DS$3),YEAR($T2)=YEAR(DS$3)),YEAR($T2)&lt;YEAR(DS$3)),OR(AND(MONTH($U2)&gt;=MONTH(DS$3),YEAR($U2)=YEAR(DS$3)),,YEAR($U2)&gt;YEAR(DS$3))),
$K2/(1+MONTH($U2)-MONTH($T2)+12*(YEAR($U2)-YEAR($T2))),0)</calculatedColumnFormula>
    </tableColumn>
    <tableColumn id="86" xr3:uid="{50EAA438-D455-4DDB-BCF4-941C11423E0B}" name="Octobre 2022 CA" dataDxfId="22">
      <calculatedColumnFormula>IF(AND(OR(AND(MONTH($T2)&lt;=MONTH(DT$3),YEAR($T2)=YEAR(DT$3)),YEAR($T2)&lt;YEAR(DT$3)),OR(AND(MONTH($U2)&gt;=MONTH(DT$3),YEAR($U2)=YEAR(DT$3)),,YEAR($U2)&gt;YEAR(DT$3))),
$K2/(1+MONTH($U2)-MONTH($T2)+12*(YEAR($U2)-YEAR($T2))),0)</calculatedColumnFormula>
    </tableColumn>
    <tableColumn id="87" xr3:uid="{2FE8D111-C77E-42E0-A362-515861DEBEC4}" name="Novembre 2022 CA" dataDxfId="21">
      <calculatedColumnFormula>IF(AND(OR(AND(MONTH($T2)&lt;=MONTH(DU$3),YEAR($T2)=YEAR(DU$3)),YEAR($T2)&lt;YEAR(DU$3)),OR(AND(MONTH($U2)&gt;=MONTH(DU$3),YEAR($U2)=YEAR(DU$3)),,YEAR($U2)&gt;YEAR(DU$3))),
$K2/(1+MONTH($U2)-MONTH($T2)+12*(YEAR($U2)-YEAR($T2))),0)</calculatedColumnFormula>
    </tableColumn>
    <tableColumn id="88" xr3:uid="{3E7A24F6-1C85-4B09-B3BA-C981B04477F3}" name="Décembre 2022 CA" dataDxfId="20">
      <calculatedColumnFormula>IF(AND(OR(AND(MONTH($T2)&lt;=MONTH(DV$3),YEAR($T2)=YEAR(DV$3)),YEAR($T2)&lt;YEAR(DV$3)),OR(AND(MONTH($U2)&gt;=MONTH(DV$3),YEAR($U2)=YEAR(DV$3)),,YEAR($U2)&gt;YEAR(DV$3))),
$K2/(1+MONTH($U2)-MONTH($T2)+12*(YEAR($U2)-YEAR($T2))),0)</calculatedColumnFormula>
    </tableColumn>
    <tableColumn id="128" xr3:uid="{B592858B-40E2-4D01-8AA4-1179D660EAE8}" name="Janvier 2023 CA" dataDxfId="19">
      <calculatedColumnFormula>IF(AND(OR(AND(MONTH($T2)&lt;=MONTH(DW$3),YEAR($T2)=YEAR(DW$3)),YEAR($T2)&lt;YEAR(DW$3)),OR(AND(MONTH($U2)&gt;=MONTH(DW$3),YEAR($U2)=YEAR(DW$3)),,YEAR($U2)&gt;YEAR(DW$3))),
$K2/(1+MONTH($U2)-MONTH($T2)+12*(YEAR($U2)-YEAR($T2))),0)</calculatedColumnFormula>
    </tableColumn>
    <tableColumn id="129" xr3:uid="{25E2261A-06C1-49DF-A6F4-EB01C30D80D1}" name="Février 2023 CA" dataDxfId="18">
      <calculatedColumnFormula>IF(AND(OR(AND(MONTH($T2)&lt;=MONTH(DX$3),YEAR($T2)=YEAR(DX$3)),YEAR($T2)&lt;YEAR(DX$3)),OR(AND(MONTH($U2)&gt;=MONTH(DX$3),YEAR($U2)=YEAR(DX$3)),,YEAR($U2)&gt;YEAR(DX$3))),
$K2/(1+MONTH($U2)-MONTH($T2)+12*(YEAR($U2)-YEAR($T2))),0)</calculatedColumnFormula>
    </tableColumn>
    <tableColumn id="130" xr3:uid="{4DD94E42-E3E0-4A81-AA61-72FD962C12FB}" name="Mars 2023 CA" dataDxfId="17">
      <calculatedColumnFormula>IF(AND(OR(AND(MONTH($T2)&lt;=MONTH(DY$3),YEAR($T2)=YEAR(DY$3)),YEAR($T2)&lt;YEAR(DY$3)),OR(AND(MONTH($U2)&gt;=MONTH(DY$3),YEAR($U2)=YEAR(DY$3)),,YEAR($U2)&gt;YEAR(DY$3))),
$K2/(1+MONTH($U2)-MONTH($T2)+12*(YEAR($U2)-YEAR($T2))),0)</calculatedColumnFormula>
    </tableColumn>
    <tableColumn id="131" xr3:uid="{D2299FE4-5C7F-4BE7-A44E-B3FBA6812EB0}" name="Avril 2023 CA" dataDxfId="16">
      <calculatedColumnFormula>IF(AND(OR(AND(MONTH($T2)&lt;=MONTH(DZ$3),YEAR($T2)=YEAR(DZ$3)),YEAR($T2)&lt;YEAR(DZ$3)),OR(AND(MONTH($U2)&gt;=MONTH(DZ$3),YEAR($U2)=YEAR(DZ$3)),,YEAR($U2)&gt;YEAR(DZ$3))),
$K2/(1+MONTH($U2)-MONTH($T2)+12*(YEAR($U2)-YEAR($T2))),0)</calculatedColumnFormula>
    </tableColumn>
    <tableColumn id="132" xr3:uid="{C1CD561E-9333-48E0-B4B7-5103953DBA8B}" name="Mai 2023 CA" dataDxfId="15">
      <calculatedColumnFormula>IF(AND(OR(AND(MONTH($T2)&lt;=MONTH(EA$3),YEAR($T2)=YEAR(EA$3)),YEAR($T2)&lt;YEAR(EA$3)),OR(AND(MONTH($U2)&gt;=MONTH(EA$3),YEAR($U2)=YEAR(EA$3)),,YEAR($U2)&gt;YEAR(EA$3))),
$K2/(1+MONTH($U2)-MONTH($T2)+12*(YEAR($U2)-YEAR($T2))),0)</calculatedColumnFormula>
    </tableColumn>
    <tableColumn id="133" xr3:uid="{1302E00F-0B25-400D-91A8-781E9B76E6DB}" name="Juin 2023 CA" dataDxfId="14">
      <calculatedColumnFormula>IF(AND(OR(AND(MONTH($T2)&lt;=MONTH(EB$3),YEAR($T2)=YEAR(EB$3)),YEAR($T2)&lt;YEAR(EB$3)),OR(AND(MONTH($U2)&gt;=MONTH(EB$3),YEAR($U2)=YEAR(EB$3)),,YEAR($U2)&gt;YEAR(EB$3))),
$K2/(1+MONTH($U2)-MONTH($T2)+12*(YEAR($U2)-YEAR($T2))),0)</calculatedColumnFormula>
    </tableColumn>
    <tableColumn id="134" xr3:uid="{1E001B4C-37E6-4008-978F-D72071CCC929}" name="Juillet 2023 CA" dataDxfId="13">
      <calculatedColumnFormula>IF(AND(OR(AND(MONTH($T2)&lt;=MONTH(EC$3),YEAR($T2)=YEAR(EC$3)),YEAR($T2)&lt;YEAR(EC$3)),OR(AND(MONTH($U2)&gt;=MONTH(EC$3),YEAR($U2)=YEAR(EC$3)),,YEAR($U2)&gt;YEAR(EC$3))),
$K2/(1+MONTH($U2)-MONTH($T2)+12*(YEAR($U2)-YEAR($T2))),0)</calculatedColumnFormula>
    </tableColumn>
    <tableColumn id="135" xr3:uid="{41050EF3-60E5-4F09-BB74-8B9E38E1B114}" name="Août 2023 CA" dataDxfId="12">
      <calculatedColumnFormula>IF(AND(OR(AND(MONTH($T2)&lt;=MONTH(ED$3),YEAR($T2)=YEAR(ED$3)),YEAR($T2)&lt;YEAR(ED$3)),OR(AND(MONTH($U2)&gt;=MONTH(ED$3),YEAR($U2)=YEAR(ED$3)),,YEAR($U2)&gt;YEAR(ED$3))),
$K2/(1+MONTH($U2)-MONTH($T2)+12*(YEAR($U2)-YEAR($T2))),0)</calculatedColumnFormula>
    </tableColumn>
    <tableColumn id="136" xr3:uid="{26E861EE-9D59-4E37-ABB9-B83A42AA28C7}" name="Septembre 2023 CA" dataDxfId="11">
      <calculatedColumnFormula>IF(AND(OR(AND(MONTH($T2)&lt;=MONTH(EE$3),YEAR($T2)=YEAR(EE$3)),YEAR($T2)&lt;YEAR(EE$3)),OR(AND(MONTH($U2)&gt;=MONTH(EE$3),YEAR($U2)=YEAR(EE$3)),,YEAR($U2)&gt;YEAR(EE$3))),
$K2/(1+MONTH($U2)-MONTH($T2)+12*(YEAR($U2)-YEAR($T2))),0)</calculatedColumnFormula>
    </tableColumn>
    <tableColumn id="137" xr3:uid="{99B9027E-B81B-4E08-B299-3B4C3F8971F5}" name="Octobre 2023 CA" dataDxfId="10">
      <calculatedColumnFormula>IF(AND(OR(AND(MONTH($T2)&lt;=MONTH(EF$3),YEAR($T2)=YEAR(EF$3)),YEAR($T2)&lt;YEAR(EF$3)),OR(AND(MONTH($U2)&gt;=MONTH(EF$3),YEAR($U2)=YEAR(EF$3)),,YEAR($U2)&gt;YEAR(EF$3))),
$K2/(1+MONTH($U2)-MONTH($T2)+12*(YEAR($U2)-YEAR($T2))),0)</calculatedColumnFormula>
    </tableColumn>
    <tableColumn id="138" xr3:uid="{4E0FB2CD-E616-4CC7-93A4-D0083630EFA3}" name="Novembre 2023 CA" dataDxfId="9">
      <calculatedColumnFormula>IF(AND(OR(AND(MONTH($T2)&lt;=MONTH(EG$3),YEAR($T2)=YEAR(EG$3)),YEAR($T2)&lt;YEAR(EG$3)),OR(AND(MONTH($U2)&gt;=MONTH(EG$3),YEAR($U2)=YEAR(EG$3)),,YEAR($U2)&gt;YEAR(EG$3))),
$K2/(1+MONTH($U2)-MONTH($T2)+12*(YEAR($U2)-YEAR($T2))),0)</calculatedColumnFormula>
    </tableColumn>
    <tableColumn id="139" xr3:uid="{175BDF31-965A-4078-AF08-6E25F151ABB8}" name="Décembre 2023 CA" dataDxfId="8">
      <calculatedColumnFormula>IF(AND(OR(AND(MONTH($T2)&lt;=MONTH(EH$3),YEAR($T2)=YEAR(EH$3)),YEAR($T2)&lt;YEAR(EH$3)),OR(AND(MONTH($U2)&gt;=MONTH(EH$3),YEAR($U2)=YEAR(EH$3)),,YEAR($U2)&gt;YEAR(EH$3))),
$K2/(1+MONTH($U2)-MONTH($T2)+12*(YEAR($U2)-YEAR($T2))),0)</calculatedColumnFormula>
    </tableColumn>
    <tableColumn id="89" xr3:uid="{A5572E1B-E964-401D-ACBC-4DC4B4CD2E65}" name="CA &gt; 2023" dataDxfId="7">
      <calculatedColumnFormula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calculatedColumnFormula>
    </tableColumn>
    <tableColumn id="22" xr3:uid="{1A61698B-1A09-40CF-AD6B-CFBB5220AD3F}" name="Ratio PAT CA / CA Vendu initial" dataDxfId="6">
      <calculatedColumnFormula>IFERROR(SuiviExec[[#This Row],[PAT CA (€)]]/SuiviExec[[#This Row],[CA Vendu initial (€)]],0)</calculatedColumnFormula>
    </tableColumn>
    <tableColumn id="116" xr3:uid="{840A5ECE-DD61-40DB-914C-47B82F3EF4BF}" name="colonne" dataDxfId="5"/>
    <tableColumn id="115" xr3:uid="{A25B94F6-F600-4BEF-8445-E9D8858AAA48}" name="Détail du budget" dataDxfId="4">
      <calculatedColumnFormula>IF(OR(ISBLANK(SuiviExec[[#This Row],[Budget MO (€)]]),ISBLANK(SuiviExec[[#This Row],[Budget Matériel (€)]]),ISBLANK(SuiviExec[[#This Row],[Budget ST (€)]])),"Budget non détaillé","")</calculatedColumnFormula>
    </tableColumn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D4F-142A-4EDC-8E96-C0344D09DB09}">
  <dimension ref="A1:EL35"/>
  <sheetViews>
    <sheetView tabSelected="1" topLeftCell="AM7" workbookViewId="0">
      <selection activeCell="BD18" sqref="BD18"/>
    </sheetView>
  </sheetViews>
  <sheetFormatPr baseColWidth="10" defaultRowHeight="15" x14ac:dyDescent="0.25"/>
  <sheetData>
    <row r="1" spans="1:142" ht="9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7" t="s">
        <v>60</v>
      </c>
      <c r="BJ1" s="7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7" t="s">
        <v>98</v>
      </c>
      <c r="CV1" s="9" t="s">
        <v>99</v>
      </c>
      <c r="CW1" s="10" t="s">
        <v>100</v>
      </c>
      <c r="CX1" s="10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1" t="s">
        <v>113</v>
      </c>
      <c r="DK1" s="11" t="s">
        <v>114</v>
      </c>
      <c r="DL1" s="11" t="s">
        <v>115</v>
      </c>
      <c r="DM1" s="11" t="s">
        <v>116</v>
      </c>
      <c r="DN1" s="11" t="s">
        <v>117</v>
      </c>
      <c r="DO1" s="11" t="s">
        <v>118</v>
      </c>
      <c r="DP1" s="11" t="s">
        <v>119</v>
      </c>
      <c r="DQ1" s="11" t="s">
        <v>120</v>
      </c>
      <c r="DR1" s="11" t="s">
        <v>121</v>
      </c>
      <c r="DS1" s="11" t="s">
        <v>122</v>
      </c>
      <c r="DT1" s="11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1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0" t="s">
        <v>138</v>
      </c>
      <c r="EJ1" s="1" t="s">
        <v>139</v>
      </c>
      <c r="EK1" s="12" t="s">
        <v>140</v>
      </c>
      <c r="EL1" s="13" t="s">
        <v>141</v>
      </c>
    </row>
    <row r="2" spans="1:142" ht="15.75" x14ac:dyDescent="0.25">
      <c r="A2" s="14" t="s">
        <v>142</v>
      </c>
      <c r="B2" s="14" t="s">
        <v>143</v>
      </c>
      <c r="C2" s="14" t="s">
        <v>144</v>
      </c>
      <c r="D2" s="14" t="s">
        <v>145</v>
      </c>
      <c r="E2" s="14" t="s">
        <v>145</v>
      </c>
      <c r="F2" s="14" t="s">
        <v>146</v>
      </c>
      <c r="G2" s="15">
        <v>44348</v>
      </c>
      <c r="H2" s="16" t="s">
        <v>147</v>
      </c>
      <c r="I2" s="16" t="s">
        <v>148</v>
      </c>
      <c r="J2" s="17">
        <v>47297.14</v>
      </c>
      <c r="K2" s="17">
        <v>12496.14</v>
      </c>
      <c r="L2" s="18">
        <f>IFERROR(SuiviExec[[#This Row],[Marge Vendue Initiale (€)]]/SuiviExec[[#This Row],[CA Vendu initial (€)]],"")</f>
        <v>0.26420498152742428</v>
      </c>
      <c r="M2" s="17"/>
      <c r="N2" s="19">
        <v>42</v>
      </c>
      <c r="O2" s="20">
        <f>SuiviExec[[#This Row],[Budget MO Etude (€)]]+SuiviExec[[#This Row],[Budget MO Agent (heure)]]*Taux_Horaire_Agent</f>
        <v>1218</v>
      </c>
      <c r="P2" s="17">
        <v>33583</v>
      </c>
      <c r="Q2" s="17">
        <v>0</v>
      </c>
      <c r="R2" s="21">
        <f>SUM(SuiviExec[[#This Row],[Budget MO (€)]:[Budget ST (€)]])</f>
        <v>34801</v>
      </c>
      <c r="S2" s="22">
        <v>44525</v>
      </c>
      <c r="T2" s="22">
        <v>44539</v>
      </c>
      <c r="U2" s="23"/>
      <c r="V2" s="24" cm="1">
        <f t="array" ref="V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" s="25">
        <f>IFERROR(SuiviExec[[#This Row],[Réalisé MO Etude (€)]]+SuiviExec[[#This Row],[Réalisé MO Agent (heure)]]*Taux_Horaire_Agent,0)</f>
        <v>0</v>
      </c>
      <c r="X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" s="21">
        <f>SUM(SuiviExec[[#This Row],[Réalisé MO (€)]:[Réalisé ST (€)]])</f>
        <v>0</v>
      </c>
      <c r="AA2" s="26">
        <v>0</v>
      </c>
      <c r="AB2" s="27"/>
      <c r="AC2" s="27">
        <v>42</v>
      </c>
      <c r="AD2" s="20">
        <f>IFERROR(SuiviExec[[#This Row],[PAT MO Etude (€)]]+SuiviExec[[#This Row],[PAT MO Agent (heure)]]*Taux_Horaire_Agent,0)</f>
        <v>1218</v>
      </c>
      <c r="AE2" s="28">
        <f>SuiviExec[[#This Row],[Budget Matériel (€)]]</f>
        <v>33583</v>
      </c>
      <c r="AF2" s="28">
        <f>SuiviExec[[#This Row],[Budget ST (€)]]</f>
        <v>0</v>
      </c>
      <c r="AG2" s="21">
        <f>SUM(SuiviExec[[#This Row],[PAT MO (€)]:[PAT ST (€)]])</f>
        <v>34801</v>
      </c>
      <c r="AH2" s="28">
        <v>47297.14</v>
      </c>
      <c r="AI2" s="21">
        <f>SuiviExec[[#This Row],[PAT CA (€)]]-SuiviExec[[#This Row],[PAT Coût Total (€)]]</f>
        <v>12496.14</v>
      </c>
      <c r="AJ2" s="18">
        <f>IFERROR(SuiviExec[[#This Row],[PAT Marge (€)]]/SuiviExec[[#This Row],[PAT CA (€)]],"Saisir le PAT")</f>
        <v>0.26420498152742428</v>
      </c>
      <c r="AK2" s="29" t="s">
        <v>149</v>
      </c>
      <c r="AL2" s="28">
        <v>-3783</v>
      </c>
      <c r="AM2" s="29"/>
      <c r="AN2" s="28"/>
      <c r="AO2" s="30">
        <f>SuiviExec[[#This Row],[CA Vendu initial (€)]]*SuiviExec[[#This Row],[Avancement physique du chantier (%)]]</f>
        <v>0</v>
      </c>
      <c r="AP2" s="23">
        <v>0</v>
      </c>
      <c r="AQ2" s="20">
        <f>IF(SuiviExec[[#This Row],[Avancement physique du chantier (%)]]=0,0,SuiviExec[[#This Row],[Situation méritée (CA Produit)]]-SuiviExec[[#This Row],[Montant Facturé (€)]])</f>
        <v>0</v>
      </c>
      <c r="AR2" s="23">
        <v>0</v>
      </c>
      <c r="AS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" s="23">
        <v>0</v>
      </c>
      <c r="AU2" s="20">
        <f>SuiviExec[[#This Row],[Situation méritée (CA Produit)]]-SuiviExec[[#This Row],[CA Année N-1 (2020)]]</f>
        <v>0</v>
      </c>
      <c r="AV2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2" s="20">
        <f ca="1">SUM(SuiviExec[[#This Row],[Janvier 2022 CA]:[CA &gt; 2023]])</f>
        <v>0</v>
      </c>
      <c r="AX2" s="20">
        <f>SuiviExec[[#This Row],[Situation méritée (CA Produit)]]-SuiviExec[[#This Row],[CA Année N-1 (2020)]]-SuiviExec[[#This Row],[CA 2021 - Réalisé]]</f>
        <v>0</v>
      </c>
      <c r="AY2" s="23">
        <f>SuiviExec[[#This Row],[Avancement physique du chantier (%)]]*SuiviExec[[#This Row],[Budget MO (€)]]</f>
        <v>0</v>
      </c>
      <c r="AZ2" s="23">
        <f>SuiviExec[[#This Row],[Avancement physique du chantier (%)]]*SuiviExec[[#This Row],[Budget Matériel (€)]]</f>
        <v>0</v>
      </c>
      <c r="BA2" s="23">
        <f>SuiviExec[[#This Row],[Budget ST (€)]]*SuiviExec[[#This Row],[Avancement physique du chantier (%)]]</f>
        <v>0</v>
      </c>
      <c r="BB2" s="20">
        <f>SUM(SuiviExec[[#This Row],[Charges 2021 MO (€)]:[Charges 2021 ST (€)]])</f>
        <v>0</v>
      </c>
      <c r="BC2" s="31">
        <v>0</v>
      </c>
      <c r="BD2" s="20">
        <f>SuiviExec[[#This Row],[CA 2021 - Réalisé]]-SuiviExec[[#This Row],[Charges 2021 à date]]</f>
        <v>0</v>
      </c>
      <c r="BE2" s="18" t="str">
        <f>IF(SuiviExec[[#This Row],[Avancement physique du chantier (%)]]&gt;0,IFERROR(SuiviExec[[#This Row],[Marge 2021 à date]]/SuiviExec[[#This Row],[CA 2021 - Réalisé]],""),"")</f>
        <v/>
      </c>
      <c r="BF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2" s="29"/>
      <c r="BH2" s="33">
        <f>(SuiviExec[[#This Row],[Budget MO Etude (€)]]/Taux_Horaire_Etude+SuiviExec[[#This Row],[Budget MO Agent (heure)]])</f>
        <v>42</v>
      </c>
      <c r="BI2" s="34">
        <f ca="1">SuiviExec[[#This Row],[Estimation Budget MO (heures)]]-SUM(SuiviExec[[#This Row],[MO &lt; 2021]:[MO &gt; 2023]])</f>
        <v>0</v>
      </c>
      <c r="BJ2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" s="19">
        <f t="shared" ref="BK2:BZ17" ca="1" si="0">IF(AND(OR(AND(MONTH($T2)&lt;=MONTH(BK$3),YEAR($T2)=YEAR(BK$3)),YEAR($T2)&lt;YEAR(BK$3)),OR(AND(MONTH($U2)&gt;=MONTH(BK$3),YEAR($U2)=YEAR(BK$3)),,YEAR($U2)&gt;YEAR(BK$3))),$BI2/(
1+MONTH($U2)-MONTH($T2)+12*(YEAR($U2)-YEAR($T2))),0)</f>
        <v>0</v>
      </c>
      <c r="BL2" s="19">
        <f t="shared" ca="1" si="0"/>
        <v>0</v>
      </c>
      <c r="BM2" s="19">
        <f t="shared" ca="1" si="0"/>
        <v>0</v>
      </c>
      <c r="BN2" s="19">
        <f t="shared" ca="1" si="0"/>
        <v>0</v>
      </c>
      <c r="BO2" s="19">
        <f t="shared" ca="1" si="0"/>
        <v>0</v>
      </c>
      <c r="BP2" s="19">
        <f t="shared" ca="1" si="0"/>
        <v>0</v>
      </c>
      <c r="BQ2" s="19">
        <f t="shared" ca="1" si="0"/>
        <v>0</v>
      </c>
      <c r="BR2" s="19">
        <f t="shared" ca="1" si="0"/>
        <v>0</v>
      </c>
      <c r="BS2" s="19">
        <f t="shared" ca="1" si="0"/>
        <v>0</v>
      </c>
      <c r="BT2" s="19">
        <f t="shared" ca="1" si="0"/>
        <v>0</v>
      </c>
      <c r="BU2" s="19">
        <f t="shared" ca="1" si="0"/>
        <v>21</v>
      </c>
      <c r="BV2" s="19">
        <f t="shared" ca="1" si="0"/>
        <v>21</v>
      </c>
      <c r="BW2" s="19">
        <f t="shared" ca="1" si="0"/>
        <v>0</v>
      </c>
      <c r="BX2" s="19">
        <f t="shared" ca="1" si="0"/>
        <v>0</v>
      </c>
      <c r="BY2" s="19">
        <f t="shared" ca="1" si="0"/>
        <v>0</v>
      </c>
      <c r="BZ2" s="19">
        <f t="shared" ca="1" si="0"/>
        <v>0</v>
      </c>
      <c r="CA2" s="19">
        <f t="shared" ref="CA2:CP17" ca="1" si="1">IF(AND(OR(AND(MONTH($T2)&lt;=MONTH(CA$3),YEAR($T2)=YEAR(CA$3)),YEAR($T2)&lt;YEAR(CA$3)),OR(AND(MONTH($U2)&gt;=MONTH(CA$3),YEAR($U2)=YEAR(CA$3)),,YEAR($U2)&gt;YEAR(CA$3))),$BI2/(
1+MONTH($U2)-MONTH($T2)+12*(YEAR($U2)-YEAR($T2))),0)</f>
        <v>0</v>
      </c>
      <c r="CB2" s="19">
        <f t="shared" ca="1" si="1"/>
        <v>0</v>
      </c>
      <c r="CC2" s="19">
        <f t="shared" ca="1" si="1"/>
        <v>0</v>
      </c>
      <c r="CD2" s="19">
        <f t="shared" ca="1" si="1"/>
        <v>0</v>
      </c>
      <c r="CE2" s="19">
        <f t="shared" ca="1" si="1"/>
        <v>0</v>
      </c>
      <c r="CF2" s="19">
        <f t="shared" ca="1" si="1"/>
        <v>0</v>
      </c>
      <c r="CG2" s="19">
        <f t="shared" ca="1" si="1"/>
        <v>0</v>
      </c>
      <c r="CH2" s="19">
        <f t="shared" ca="1" si="1"/>
        <v>0</v>
      </c>
      <c r="CI2" s="19">
        <f t="shared" ca="1" si="1"/>
        <v>0</v>
      </c>
      <c r="CJ2" s="19">
        <f t="shared" ca="1" si="1"/>
        <v>0</v>
      </c>
      <c r="CK2" s="19">
        <f t="shared" ca="1" si="1"/>
        <v>0</v>
      </c>
      <c r="CL2" s="19">
        <f t="shared" ca="1" si="1"/>
        <v>0</v>
      </c>
      <c r="CM2" s="19">
        <f t="shared" ca="1" si="1"/>
        <v>0</v>
      </c>
      <c r="CN2" s="19">
        <f t="shared" ca="1" si="1"/>
        <v>0</v>
      </c>
      <c r="CO2" s="19">
        <f t="shared" ca="1" si="1"/>
        <v>0</v>
      </c>
      <c r="CP2" s="19">
        <f t="shared" ca="1" si="1"/>
        <v>0</v>
      </c>
      <c r="CQ2" s="19">
        <f t="shared" ref="CQ2:CT17" ca="1" si="2">IF(AND(OR(AND(MONTH($T2)&lt;=MONTH(CQ$3),YEAR($T2)=YEAR(CQ$3)),YEAR($T2)&lt;YEAR(CQ$3)),OR(AND(MONTH($U2)&gt;=MONTH(CQ$3),YEAR($U2)=YEAR(CQ$3)),,YEAR($U2)&gt;YEAR(CQ$3))),$BI2/(
1+MONTH($U2)-MONTH($T2)+12*(YEAR($U2)-YEAR($T2))),0)</f>
        <v>0</v>
      </c>
      <c r="CR2" s="19">
        <f t="shared" ca="1" si="2"/>
        <v>0</v>
      </c>
      <c r="CS2" s="19">
        <f t="shared" ca="1" si="2"/>
        <v>0</v>
      </c>
      <c r="CT2" s="19">
        <f t="shared" ca="1" si="2"/>
        <v>0</v>
      </c>
      <c r="CU2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" s="35"/>
      <c r="CW2" s="36">
        <f ca="1">SuiviExec[[#This Row],[CA Vendu initial (€)]]-SUM(SuiviExec[[#This Row],[CA &lt; 2021]:[CA &gt; 2023]])</f>
        <v>0</v>
      </c>
      <c r="CX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" s="37">
        <f t="shared" ref="CY2:DN17" ca="1" si="3">IF(AND(OR(AND(MONTH($T2)&lt;=MONTH(CY$3),YEAR($T2)=YEAR(CY$3)),YEAR($T2)&lt;YEAR(CY$3)),OR(AND(MONTH($U2)&gt;=MONTH(CY$3),YEAR($U2)=YEAR(CY$3)),,YEAR($U2)&gt;YEAR(CY$3))),
$K2/(1+MONTH($U2)-MONTH($T2)+12*(YEAR($U2)-YEAR($T2))),0)</f>
        <v>0</v>
      </c>
      <c r="CZ2" s="37">
        <f t="shared" ca="1" si="3"/>
        <v>0</v>
      </c>
      <c r="DA2" s="37">
        <f t="shared" ca="1" si="3"/>
        <v>0</v>
      </c>
      <c r="DB2" s="37">
        <f t="shared" ca="1" si="3"/>
        <v>0</v>
      </c>
      <c r="DC2" s="37">
        <f t="shared" ca="1" si="3"/>
        <v>0</v>
      </c>
      <c r="DD2" s="37">
        <f t="shared" ca="1" si="3"/>
        <v>0</v>
      </c>
      <c r="DE2" s="37">
        <f t="shared" ca="1" si="3"/>
        <v>0</v>
      </c>
      <c r="DF2" s="37">
        <f t="shared" ca="1" si="3"/>
        <v>0</v>
      </c>
      <c r="DG2" s="37">
        <f t="shared" ca="1" si="3"/>
        <v>0</v>
      </c>
      <c r="DH2" s="37">
        <f t="shared" ca="1" si="3"/>
        <v>0</v>
      </c>
      <c r="DI2" s="37">
        <f t="shared" ca="1" si="3"/>
        <v>23648.57</v>
      </c>
      <c r="DJ2" s="37">
        <f t="shared" ca="1" si="3"/>
        <v>23648.57</v>
      </c>
      <c r="DK2" s="37">
        <f t="shared" ca="1" si="3"/>
        <v>0</v>
      </c>
      <c r="DL2" s="37">
        <f t="shared" ca="1" si="3"/>
        <v>0</v>
      </c>
      <c r="DM2" s="37">
        <f t="shared" ca="1" si="3"/>
        <v>0</v>
      </c>
      <c r="DN2" s="37">
        <f t="shared" ca="1" si="3"/>
        <v>0</v>
      </c>
      <c r="DO2" s="37">
        <f t="shared" ref="DO2:ED17" ca="1" si="4">IF(AND(OR(AND(MONTH($T2)&lt;=MONTH(DO$3),YEAR($T2)=YEAR(DO$3)),YEAR($T2)&lt;YEAR(DO$3)),OR(AND(MONTH($U2)&gt;=MONTH(DO$3),YEAR($U2)=YEAR(DO$3)),,YEAR($U2)&gt;YEAR(DO$3))),
$K2/(1+MONTH($U2)-MONTH($T2)+12*(YEAR($U2)-YEAR($T2))),0)</f>
        <v>0</v>
      </c>
      <c r="DP2" s="37">
        <f t="shared" ca="1" si="4"/>
        <v>0</v>
      </c>
      <c r="DQ2" s="37">
        <f t="shared" ca="1" si="4"/>
        <v>0</v>
      </c>
      <c r="DR2" s="37">
        <f t="shared" ca="1" si="4"/>
        <v>0</v>
      </c>
      <c r="DS2" s="37">
        <f t="shared" ca="1" si="4"/>
        <v>0</v>
      </c>
      <c r="DT2" s="37">
        <f t="shared" ca="1" si="4"/>
        <v>0</v>
      </c>
      <c r="DU2" s="37">
        <f t="shared" ca="1" si="4"/>
        <v>0</v>
      </c>
      <c r="DV2" s="37">
        <f t="shared" ca="1" si="4"/>
        <v>0</v>
      </c>
      <c r="DW2" s="37">
        <f t="shared" ca="1" si="4"/>
        <v>0</v>
      </c>
      <c r="DX2" s="37">
        <f t="shared" ca="1" si="4"/>
        <v>0</v>
      </c>
      <c r="DY2" s="37">
        <f t="shared" ca="1" si="4"/>
        <v>0</v>
      </c>
      <c r="DZ2" s="37">
        <f t="shared" ca="1" si="4"/>
        <v>0</v>
      </c>
      <c r="EA2" s="37">
        <f t="shared" ca="1" si="4"/>
        <v>0</v>
      </c>
      <c r="EB2" s="37">
        <f t="shared" ca="1" si="4"/>
        <v>0</v>
      </c>
      <c r="EC2" s="37">
        <f t="shared" ca="1" si="4"/>
        <v>0</v>
      </c>
      <c r="ED2" s="37">
        <f t="shared" ca="1" si="4"/>
        <v>0</v>
      </c>
      <c r="EE2" s="37">
        <f t="shared" ref="EE2:EH17" ca="1" si="5">IF(AND(OR(AND(MONTH($T2)&lt;=MONTH(EE$3),YEAR($T2)=YEAR(EE$3)),YEAR($T2)&lt;YEAR(EE$3)),OR(AND(MONTH($U2)&gt;=MONTH(EE$3),YEAR($U2)=YEAR(EE$3)),,YEAR($U2)&gt;YEAR(EE$3))),
$K2/(1+MONTH($U2)-MONTH($T2)+12*(YEAR($U2)-YEAR($T2))),0)</f>
        <v>0</v>
      </c>
      <c r="EF2" s="37">
        <f t="shared" ca="1" si="5"/>
        <v>0</v>
      </c>
      <c r="EG2" s="37">
        <f t="shared" ca="1" si="5"/>
        <v>0</v>
      </c>
      <c r="EH2" s="37">
        <f t="shared" ca="1" si="5"/>
        <v>0</v>
      </c>
      <c r="EI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" s="38">
        <f>IFERROR(SuiviExec[[#This Row],[PAT CA (€)]]/SuiviExec[[#This Row],[CA Vendu initial (€)]],0)</f>
        <v>1</v>
      </c>
      <c r="EK2" s="39"/>
      <c r="EL2" s="40" t="str">
        <f>IF(OR(ISBLANK(SuiviExec[[#This Row],[Budget MO (€)]]),ISBLANK(SuiviExec[[#This Row],[Budget Matériel (€)]]),ISBLANK(SuiviExec[[#This Row],[Budget ST (€)]])),"Budget non détaillé","")</f>
        <v/>
      </c>
    </row>
    <row r="3" spans="1:142" ht="15.75" x14ac:dyDescent="0.25">
      <c r="A3" s="14" t="s">
        <v>150</v>
      </c>
      <c r="B3" s="14" t="s">
        <v>151</v>
      </c>
      <c r="C3" s="14" t="s">
        <v>144</v>
      </c>
      <c r="D3" s="14" t="s">
        <v>152</v>
      </c>
      <c r="E3" s="14" t="s">
        <v>152</v>
      </c>
      <c r="F3" s="14" t="s">
        <v>146</v>
      </c>
      <c r="G3" s="15">
        <v>44378</v>
      </c>
      <c r="H3" s="16" t="s">
        <v>153</v>
      </c>
      <c r="I3" s="16" t="s">
        <v>154</v>
      </c>
      <c r="J3" s="17">
        <v>26410</v>
      </c>
      <c r="K3" s="17">
        <v>6858.8888888888905</v>
      </c>
      <c r="L3" s="18">
        <f>IFERROR(SuiviExec[[#This Row],[Marge Vendue Initiale (€)]]/SuiviExec[[#This Row],[CA Vendu initial (€)]],"")</f>
        <v>0.2597080230552401</v>
      </c>
      <c r="M3" s="17"/>
      <c r="N3" s="19">
        <v>115.55555555555556</v>
      </c>
      <c r="O3" s="20">
        <f>SuiviExec[[#This Row],[Budget MO Etude (€)]]+SuiviExec[[#This Row],[Budget MO Agent (heure)]]*Taux_Horaire_Agent</f>
        <v>3351.1111111111113</v>
      </c>
      <c r="P3" s="17">
        <v>13200</v>
      </c>
      <c r="Q3" s="17">
        <v>3000</v>
      </c>
      <c r="R3" s="21">
        <f>SUM(SuiviExec[[#This Row],[Budget MO (€)]:[Budget ST (€)]])</f>
        <v>19551.111111111109</v>
      </c>
      <c r="S3" s="22">
        <v>44531</v>
      </c>
      <c r="T3" s="22">
        <v>44552</v>
      </c>
      <c r="U3" s="23"/>
      <c r="V3" s="24" cm="1">
        <f t="array" ref="V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" s="20">
        <f>IFERROR(SuiviExec[[#This Row],[Réalisé MO Etude (€)]]+SuiviExec[[#This Row],[Réalisé MO Agent (heure)]]*Taux_Horaire_Agent,0)</f>
        <v>0</v>
      </c>
      <c r="X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" s="21">
        <f>SUM(SuiviExec[[#This Row],[Réalisé MO (€)]:[Réalisé ST (€)]])</f>
        <v>0</v>
      </c>
      <c r="AA3" s="26">
        <v>0</v>
      </c>
      <c r="AB3" s="41"/>
      <c r="AC3" s="41">
        <v>115.55555555555556</v>
      </c>
      <c r="AD3" s="20">
        <f>IFERROR(SuiviExec[[#This Row],[PAT MO Etude (€)]]+SuiviExec[[#This Row],[PAT MO Agent (heure)]]*Taux_Horaire_Agent,0)</f>
        <v>3351.1111111111113</v>
      </c>
      <c r="AE3" s="28">
        <f>SuiviExec[[#This Row],[Budget Matériel (€)]]</f>
        <v>13200</v>
      </c>
      <c r="AF3" s="28">
        <f>SuiviExec[[#This Row],[Budget ST (€)]]</f>
        <v>3000</v>
      </c>
      <c r="AG3" s="21">
        <f>SUM(SuiviExec[[#This Row],[PAT MO (€)]:[PAT ST (€)]])</f>
        <v>19551.111111111109</v>
      </c>
      <c r="AH3" s="28">
        <v>26410</v>
      </c>
      <c r="AI3" s="21">
        <f>SuiviExec[[#This Row],[PAT CA (€)]]-SuiviExec[[#This Row],[PAT Coût Total (€)]]</f>
        <v>6858.8888888888905</v>
      </c>
      <c r="AJ3" s="18">
        <f>IFERROR(SuiviExec[[#This Row],[PAT Marge (€)]]/SuiviExec[[#This Row],[PAT CA (€)]],"Saisir le PAT")</f>
        <v>0.2597080230552401</v>
      </c>
      <c r="AK3" s="29"/>
      <c r="AL3" s="28"/>
      <c r="AM3" s="29"/>
      <c r="AN3" s="28"/>
      <c r="AO3" s="30">
        <f>SuiviExec[[#This Row],[CA Vendu initial (€)]]*SuiviExec[[#This Row],[Avancement physique du chantier (%)]]</f>
        <v>0</v>
      </c>
      <c r="AP3" s="23">
        <v>0</v>
      </c>
      <c r="AQ3" s="20">
        <f>IF(SuiviExec[[#This Row],[Avancement physique du chantier (%)]]=0,0,SuiviExec[[#This Row],[Situation méritée (CA Produit)]]-SuiviExec[[#This Row],[Montant Facturé (€)]])</f>
        <v>0</v>
      </c>
      <c r="AR3" s="23">
        <v>0</v>
      </c>
      <c r="AS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" s="23">
        <v>0</v>
      </c>
      <c r="AU3" s="20">
        <f>SuiviExec[[#This Row],[Situation méritée (CA Produit)]]-SuiviExec[[#This Row],[CA Année N-1 (2020)]]</f>
        <v>0</v>
      </c>
      <c r="AV3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3" s="20">
        <f ca="1">SUM(SuiviExec[[#This Row],[Janvier 2022 CA]:[CA &gt; 2023]])</f>
        <v>0</v>
      </c>
      <c r="AX3" s="20">
        <f>SuiviExec[[#This Row],[Situation méritée (CA Produit)]]-SuiviExec[[#This Row],[CA Année N-1 (2020)]]-SuiviExec[[#This Row],[CA 2021 - Réalisé]]</f>
        <v>0</v>
      </c>
      <c r="AY3" s="23">
        <f>SuiviExec[[#This Row],[Avancement physique du chantier (%)]]*SuiviExec[[#This Row],[Budget MO (€)]]</f>
        <v>0</v>
      </c>
      <c r="AZ3" s="23">
        <f>SuiviExec[[#This Row],[Avancement physique du chantier (%)]]*SuiviExec[[#This Row],[Budget Matériel (€)]]</f>
        <v>0</v>
      </c>
      <c r="BA3" s="23">
        <f>SuiviExec[[#This Row],[Budget ST (€)]]*SuiviExec[[#This Row],[Avancement physique du chantier (%)]]</f>
        <v>0</v>
      </c>
      <c r="BB3" s="20">
        <f>SUM(SuiviExec[[#This Row],[Charges 2021 MO (€)]:[Charges 2021 ST (€)]])</f>
        <v>0</v>
      </c>
      <c r="BC3" s="31">
        <v>0</v>
      </c>
      <c r="BD3" s="42">
        <f>SuiviExec[[#This Row],[CA 2021 - Réalisé]]-SuiviExec[[#This Row],[Charges 2021 à date]]</f>
        <v>0</v>
      </c>
      <c r="BE3" s="18" t="str">
        <f>IF(SuiviExec[[#This Row],[Avancement physique du chantier (%)]]&gt;0,IFERROR(SuiviExec[[#This Row],[Marge 2021 à date]]/SuiviExec[[#This Row],[CA 2021 - Réalisé]],""),"")</f>
        <v/>
      </c>
      <c r="BF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3" s="29"/>
      <c r="BH3" s="33">
        <f>(SuiviExec[[#This Row],[Budget MO Etude (€)]]/Taux_Horaire_Etude+SuiviExec[[#This Row],[Budget MO Agent (heure)]])</f>
        <v>115.55555555555556</v>
      </c>
      <c r="BI3" s="34">
        <f ca="1">SuiviExec[[#This Row],[Estimation Budget MO (heures)]]-SUM(SuiviExec[[#This Row],[MO &lt; 2021]:[MO &gt; 2023]])</f>
        <v>0</v>
      </c>
      <c r="BJ3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" s="19">
        <f t="shared" ca="1" si="0"/>
        <v>0</v>
      </c>
      <c r="BL3" s="19">
        <f t="shared" ca="1" si="0"/>
        <v>0</v>
      </c>
      <c r="BM3" s="19">
        <f t="shared" ca="1" si="0"/>
        <v>0</v>
      </c>
      <c r="BN3" s="19">
        <f t="shared" ca="1" si="0"/>
        <v>0</v>
      </c>
      <c r="BO3" s="19">
        <f t="shared" ca="1" si="0"/>
        <v>0</v>
      </c>
      <c r="BP3" s="19">
        <f t="shared" ca="1" si="0"/>
        <v>0</v>
      </c>
      <c r="BQ3" s="19">
        <f t="shared" ca="1" si="0"/>
        <v>0</v>
      </c>
      <c r="BR3" s="19">
        <f t="shared" ca="1" si="0"/>
        <v>0</v>
      </c>
      <c r="BS3" s="19">
        <f t="shared" ca="1" si="0"/>
        <v>0</v>
      </c>
      <c r="BT3" s="19">
        <f t="shared" ca="1" si="0"/>
        <v>0</v>
      </c>
      <c r="BU3" s="19">
        <f t="shared" ca="1" si="0"/>
        <v>0</v>
      </c>
      <c r="BV3" s="19">
        <f t="shared" ca="1" si="0"/>
        <v>115.55555555555556</v>
      </c>
      <c r="BW3" s="19">
        <f t="shared" ca="1" si="0"/>
        <v>0</v>
      </c>
      <c r="BX3" s="19">
        <f t="shared" ca="1" si="0"/>
        <v>0</v>
      </c>
      <c r="BY3" s="19">
        <f t="shared" ca="1" si="0"/>
        <v>0</v>
      </c>
      <c r="BZ3" s="19">
        <f t="shared" ca="1" si="0"/>
        <v>0</v>
      </c>
      <c r="CA3" s="19">
        <f t="shared" ca="1" si="1"/>
        <v>0</v>
      </c>
      <c r="CB3" s="19">
        <f t="shared" ca="1" si="1"/>
        <v>0</v>
      </c>
      <c r="CC3" s="19">
        <f t="shared" ca="1" si="1"/>
        <v>0</v>
      </c>
      <c r="CD3" s="19">
        <f t="shared" ca="1" si="1"/>
        <v>0</v>
      </c>
      <c r="CE3" s="19">
        <f t="shared" ca="1" si="1"/>
        <v>0</v>
      </c>
      <c r="CF3" s="19">
        <f t="shared" ca="1" si="1"/>
        <v>0</v>
      </c>
      <c r="CG3" s="19">
        <f t="shared" ca="1" si="1"/>
        <v>0</v>
      </c>
      <c r="CH3" s="19">
        <f t="shared" ca="1" si="1"/>
        <v>0</v>
      </c>
      <c r="CI3" s="19">
        <f t="shared" ca="1" si="1"/>
        <v>0</v>
      </c>
      <c r="CJ3" s="19">
        <f t="shared" ca="1" si="1"/>
        <v>0</v>
      </c>
      <c r="CK3" s="19">
        <f t="shared" ca="1" si="1"/>
        <v>0</v>
      </c>
      <c r="CL3" s="19">
        <f t="shared" ca="1" si="1"/>
        <v>0</v>
      </c>
      <c r="CM3" s="19">
        <f t="shared" ca="1" si="1"/>
        <v>0</v>
      </c>
      <c r="CN3" s="19">
        <f t="shared" ca="1" si="1"/>
        <v>0</v>
      </c>
      <c r="CO3" s="19">
        <f t="shared" ca="1" si="1"/>
        <v>0</v>
      </c>
      <c r="CP3" s="19">
        <f t="shared" ca="1" si="1"/>
        <v>0</v>
      </c>
      <c r="CQ3" s="19">
        <f t="shared" ca="1" si="2"/>
        <v>0</v>
      </c>
      <c r="CR3" s="19">
        <f t="shared" ca="1" si="2"/>
        <v>0</v>
      </c>
      <c r="CS3" s="19">
        <f t="shared" ca="1" si="2"/>
        <v>0</v>
      </c>
      <c r="CT3" s="19">
        <f t="shared" ca="1" si="2"/>
        <v>0</v>
      </c>
      <c r="CU3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" s="35"/>
      <c r="CW3" s="36">
        <f ca="1">SuiviExec[[#This Row],[CA Vendu initial (€)]]-SUM(SuiviExec[[#This Row],[CA &lt; 2021]:[CA &gt; 2023]])</f>
        <v>0</v>
      </c>
      <c r="CX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" s="37">
        <f t="shared" ca="1" si="3"/>
        <v>0</v>
      </c>
      <c r="CZ3" s="37">
        <f t="shared" ca="1" si="3"/>
        <v>0</v>
      </c>
      <c r="DA3" s="37">
        <f t="shared" ca="1" si="3"/>
        <v>0</v>
      </c>
      <c r="DB3" s="37">
        <f t="shared" ca="1" si="3"/>
        <v>0</v>
      </c>
      <c r="DC3" s="37">
        <f t="shared" ca="1" si="3"/>
        <v>0</v>
      </c>
      <c r="DD3" s="37">
        <f t="shared" ca="1" si="3"/>
        <v>0</v>
      </c>
      <c r="DE3" s="37">
        <f t="shared" ca="1" si="3"/>
        <v>0</v>
      </c>
      <c r="DF3" s="37">
        <f t="shared" ca="1" si="3"/>
        <v>0</v>
      </c>
      <c r="DG3" s="37">
        <f t="shared" ca="1" si="3"/>
        <v>0</v>
      </c>
      <c r="DH3" s="37">
        <f t="shared" ca="1" si="3"/>
        <v>0</v>
      </c>
      <c r="DI3" s="37">
        <f t="shared" ca="1" si="3"/>
        <v>0</v>
      </c>
      <c r="DJ3" s="37">
        <f t="shared" ca="1" si="3"/>
        <v>26410</v>
      </c>
      <c r="DK3" s="37">
        <f t="shared" ca="1" si="3"/>
        <v>0</v>
      </c>
      <c r="DL3" s="37">
        <f t="shared" ca="1" si="3"/>
        <v>0</v>
      </c>
      <c r="DM3" s="37">
        <f t="shared" ca="1" si="3"/>
        <v>0</v>
      </c>
      <c r="DN3" s="37">
        <f t="shared" ca="1" si="3"/>
        <v>0</v>
      </c>
      <c r="DO3" s="37">
        <f t="shared" ca="1" si="4"/>
        <v>0</v>
      </c>
      <c r="DP3" s="37">
        <f t="shared" ca="1" si="4"/>
        <v>0</v>
      </c>
      <c r="DQ3" s="37">
        <f t="shared" ca="1" si="4"/>
        <v>0</v>
      </c>
      <c r="DR3" s="37">
        <f t="shared" ca="1" si="4"/>
        <v>0</v>
      </c>
      <c r="DS3" s="37">
        <f t="shared" ca="1" si="4"/>
        <v>0</v>
      </c>
      <c r="DT3" s="37">
        <f t="shared" ca="1" si="4"/>
        <v>0</v>
      </c>
      <c r="DU3" s="37">
        <f t="shared" ca="1" si="4"/>
        <v>0</v>
      </c>
      <c r="DV3" s="37">
        <f t="shared" ca="1" si="4"/>
        <v>0</v>
      </c>
      <c r="DW3" s="37">
        <f t="shared" ca="1" si="4"/>
        <v>0</v>
      </c>
      <c r="DX3" s="37">
        <f t="shared" ca="1" si="4"/>
        <v>0</v>
      </c>
      <c r="DY3" s="37">
        <f t="shared" ca="1" si="4"/>
        <v>0</v>
      </c>
      <c r="DZ3" s="37">
        <f t="shared" ca="1" si="4"/>
        <v>0</v>
      </c>
      <c r="EA3" s="37">
        <f t="shared" ca="1" si="4"/>
        <v>0</v>
      </c>
      <c r="EB3" s="37">
        <f t="shared" ca="1" si="4"/>
        <v>0</v>
      </c>
      <c r="EC3" s="37">
        <f t="shared" ca="1" si="4"/>
        <v>0</v>
      </c>
      <c r="ED3" s="37">
        <f t="shared" ca="1" si="4"/>
        <v>0</v>
      </c>
      <c r="EE3" s="37">
        <f t="shared" ca="1" si="5"/>
        <v>0</v>
      </c>
      <c r="EF3" s="37">
        <f t="shared" ca="1" si="5"/>
        <v>0</v>
      </c>
      <c r="EG3" s="37">
        <f t="shared" ca="1" si="5"/>
        <v>0</v>
      </c>
      <c r="EH3" s="37">
        <f t="shared" ca="1" si="5"/>
        <v>0</v>
      </c>
      <c r="EI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" s="38">
        <f>IFERROR(SuiviExec[[#This Row],[PAT CA (€)]]/SuiviExec[[#This Row],[CA Vendu initial (€)]],0)</f>
        <v>1</v>
      </c>
      <c r="EK3" s="39"/>
      <c r="EL3" s="40" t="str">
        <f>IF(OR(ISBLANK(SuiviExec[[#This Row],[Budget MO (€)]]),ISBLANK(SuiviExec[[#This Row],[Budget Matériel (€)]]),ISBLANK(SuiviExec[[#This Row],[Budget ST (€)]])),"Budget non détaillé","")</f>
        <v/>
      </c>
    </row>
    <row r="4" spans="1:142" ht="15.75" x14ac:dyDescent="0.25">
      <c r="A4" s="14" t="s">
        <v>155</v>
      </c>
      <c r="B4" s="14" t="s">
        <v>156</v>
      </c>
      <c r="C4" s="14" t="s">
        <v>144</v>
      </c>
      <c r="D4" s="14" t="s">
        <v>157</v>
      </c>
      <c r="E4" s="14" t="s">
        <v>157</v>
      </c>
      <c r="F4" s="14" t="s">
        <v>146</v>
      </c>
      <c r="G4" s="15">
        <v>44197</v>
      </c>
      <c r="H4" s="16" t="s">
        <v>158</v>
      </c>
      <c r="I4" s="16" t="s">
        <v>159</v>
      </c>
      <c r="J4" s="17">
        <v>15350</v>
      </c>
      <c r="K4" s="17">
        <v>2548.875</v>
      </c>
      <c r="L4" s="18">
        <f>IFERROR(SuiviExec[[#This Row],[Marge Vendue Initiale (€)]]/SuiviExec[[#This Row],[CA Vendu initial (€)]],"")</f>
        <v>0.16605048859934854</v>
      </c>
      <c r="M4" s="17"/>
      <c r="N4" s="19">
        <v>14</v>
      </c>
      <c r="O4" s="20">
        <f>SuiviExec[[#This Row],[Budget MO Etude (€)]]+SuiviExec[[#This Row],[Budget MO Agent (heure)]]*Taux_Horaire_Agent</f>
        <v>406</v>
      </c>
      <c r="P4" s="17">
        <v>0</v>
      </c>
      <c r="Q4" s="17">
        <v>12395.125</v>
      </c>
      <c r="R4" s="21">
        <f>SUM(SuiviExec[[#This Row],[Budget MO (€)]:[Budget ST (€)]])</f>
        <v>12801.125</v>
      </c>
      <c r="S4" s="22">
        <v>44531</v>
      </c>
      <c r="T4" s="22">
        <v>44545</v>
      </c>
      <c r="U4" s="23"/>
      <c r="V4" s="24" cm="1">
        <f t="array" ref="V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4" s="20">
        <f>IFERROR(SuiviExec[[#This Row],[Réalisé MO Etude (€)]]+SuiviExec[[#This Row],[Réalisé MO Agent (heure)]]*Taux_Horaire_Agent,0)</f>
        <v>0</v>
      </c>
      <c r="X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4" s="21">
        <f>SUM(SuiviExec[[#This Row],[Réalisé MO (€)]:[Réalisé ST (€)]])</f>
        <v>0</v>
      </c>
      <c r="AA4" s="26">
        <v>0</v>
      </c>
      <c r="AB4" s="41"/>
      <c r="AC4" s="41">
        <v>14</v>
      </c>
      <c r="AD4" s="20">
        <f>IFERROR(SuiviExec[[#This Row],[PAT MO Etude (€)]]+SuiviExec[[#This Row],[PAT MO Agent (heure)]]*Taux_Horaire_Agent,0)</f>
        <v>406</v>
      </c>
      <c r="AE4" s="28">
        <f>SuiviExec[[#This Row],[Budget Matériel (€)]]</f>
        <v>0</v>
      </c>
      <c r="AF4" s="28">
        <f>SuiviExec[[#This Row],[Budget ST (€)]]</f>
        <v>12395.125</v>
      </c>
      <c r="AG4" s="21">
        <f>SUM(SuiviExec[[#This Row],[PAT MO (€)]:[PAT ST (€)]])</f>
        <v>12801.125</v>
      </c>
      <c r="AH4" s="28">
        <v>15350</v>
      </c>
      <c r="AI4" s="21">
        <f>SuiviExec[[#This Row],[PAT CA (€)]]-SuiviExec[[#This Row],[PAT Coût Total (€)]]</f>
        <v>2548.875</v>
      </c>
      <c r="AJ4" s="18">
        <f>IFERROR(SuiviExec[[#This Row],[PAT Marge (€)]]/SuiviExec[[#This Row],[PAT CA (€)]],"Saisir le PAT")</f>
        <v>0.16605048859934854</v>
      </c>
      <c r="AK4" s="29"/>
      <c r="AL4" s="28"/>
      <c r="AM4" s="29"/>
      <c r="AN4" s="28"/>
      <c r="AO4" s="30">
        <f>SuiviExec[[#This Row],[CA Vendu initial (€)]]*SuiviExec[[#This Row],[Avancement physique du chantier (%)]]</f>
        <v>0</v>
      </c>
      <c r="AP4" s="23">
        <v>0</v>
      </c>
      <c r="AQ4" s="20">
        <f>IF(SuiviExec[[#This Row],[Avancement physique du chantier (%)]]=0,0,SuiviExec[[#This Row],[Situation méritée (CA Produit)]]-SuiviExec[[#This Row],[Montant Facturé (€)]])</f>
        <v>0</v>
      </c>
      <c r="AR4" s="23">
        <v>0</v>
      </c>
      <c r="AS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4" s="23">
        <v>0</v>
      </c>
      <c r="AU4" s="20">
        <f>SuiviExec[[#This Row],[Situation méritée (CA Produit)]]-SuiviExec[[#This Row],[CA Année N-1 (2020)]]</f>
        <v>0</v>
      </c>
      <c r="AV4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4" s="20">
        <f ca="1">SUM(SuiviExec[[#This Row],[Janvier 2022 CA]:[CA &gt; 2023]])</f>
        <v>0</v>
      </c>
      <c r="AX4" s="20">
        <f>SuiviExec[[#This Row],[Situation méritée (CA Produit)]]-SuiviExec[[#This Row],[CA Année N-1 (2020)]]-SuiviExec[[#This Row],[CA 2021 - Réalisé]]</f>
        <v>0</v>
      </c>
      <c r="AY4" s="23">
        <f>SuiviExec[[#This Row],[Avancement physique du chantier (%)]]*SuiviExec[[#This Row],[Budget MO (€)]]</f>
        <v>0</v>
      </c>
      <c r="AZ4" s="23">
        <f>SuiviExec[[#This Row],[Avancement physique du chantier (%)]]*SuiviExec[[#This Row],[Budget Matériel (€)]]</f>
        <v>0</v>
      </c>
      <c r="BA4" s="23">
        <f>SuiviExec[[#This Row],[Budget ST (€)]]*SuiviExec[[#This Row],[Avancement physique du chantier (%)]]</f>
        <v>0</v>
      </c>
      <c r="BB4" s="20">
        <f>SUM(SuiviExec[[#This Row],[Charges 2021 MO (€)]:[Charges 2021 ST (€)]])</f>
        <v>0</v>
      </c>
      <c r="BC4" s="31">
        <v>0</v>
      </c>
      <c r="BD4" s="42">
        <f>SuiviExec[[#This Row],[CA 2021 - Réalisé]]-SuiviExec[[#This Row],[Charges 2021 à date]]</f>
        <v>0</v>
      </c>
      <c r="BE4" s="18" t="str">
        <f>IF(SuiviExec[[#This Row],[Avancement physique du chantier (%)]]&gt;0,IFERROR(SuiviExec[[#This Row],[Marge 2021 à date]]/SuiviExec[[#This Row],[CA 2021 - Réalisé]],""),"")</f>
        <v/>
      </c>
      <c r="BF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4" s="29"/>
      <c r="BH4" s="33">
        <f>(SuiviExec[[#This Row],[Budget MO Etude (€)]]/Taux_Horaire_Etude+SuiviExec[[#This Row],[Budget MO Agent (heure)]])</f>
        <v>14</v>
      </c>
      <c r="BI4" s="34">
        <f ca="1">SuiviExec[[#This Row],[Estimation Budget MO (heures)]]-SUM(SuiviExec[[#This Row],[MO &lt; 2021]:[MO &gt; 2023]])</f>
        <v>0</v>
      </c>
      <c r="BJ4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4" s="19">
        <f t="shared" ca="1" si="0"/>
        <v>0</v>
      </c>
      <c r="BL4" s="19">
        <f t="shared" ca="1" si="0"/>
        <v>0</v>
      </c>
      <c r="BM4" s="19">
        <f t="shared" ca="1" si="0"/>
        <v>0</v>
      </c>
      <c r="BN4" s="19">
        <f t="shared" ca="1" si="0"/>
        <v>0</v>
      </c>
      <c r="BO4" s="19">
        <f t="shared" ca="1" si="0"/>
        <v>0</v>
      </c>
      <c r="BP4" s="19">
        <f t="shared" ca="1" si="0"/>
        <v>0</v>
      </c>
      <c r="BQ4" s="19">
        <f t="shared" ca="1" si="0"/>
        <v>0</v>
      </c>
      <c r="BR4" s="19">
        <f t="shared" ca="1" si="0"/>
        <v>0</v>
      </c>
      <c r="BS4" s="19">
        <f t="shared" ca="1" si="0"/>
        <v>0</v>
      </c>
      <c r="BT4" s="19">
        <f t="shared" ca="1" si="0"/>
        <v>0</v>
      </c>
      <c r="BU4" s="19">
        <f t="shared" ca="1" si="0"/>
        <v>0</v>
      </c>
      <c r="BV4" s="19">
        <f t="shared" ca="1" si="0"/>
        <v>14</v>
      </c>
      <c r="BW4" s="19">
        <f t="shared" ca="1" si="0"/>
        <v>0</v>
      </c>
      <c r="BX4" s="19">
        <f t="shared" ca="1" si="0"/>
        <v>0</v>
      </c>
      <c r="BY4" s="19">
        <f t="shared" ca="1" si="0"/>
        <v>0</v>
      </c>
      <c r="BZ4" s="19">
        <f t="shared" ca="1" si="0"/>
        <v>0</v>
      </c>
      <c r="CA4" s="19">
        <f t="shared" ca="1" si="1"/>
        <v>0</v>
      </c>
      <c r="CB4" s="19">
        <f t="shared" ca="1" si="1"/>
        <v>0</v>
      </c>
      <c r="CC4" s="19">
        <f t="shared" ca="1" si="1"/>
        <v>0</v>
      </c>
      <c r="CD4" s="19">
        <f t="shared" ca="1" si="1"/>
        <v>0</v>
      </c>
      <c r="CE4" s="19">
        <f t="shared" ca="1" si="1"/>
        <v>0</v>
      </c>
      <c r="CF4" s="19">
        <f t="shared" ca="1" si="1"/>
        <v>0</v>
      </c>
      <c r="CG4" s="19">
        <f t="shared" ca="1" si="1"/>
        <v>0</v>
      </c>
      <c r="CH4" s="19">
        <f t="shared" ca="1" si="1"/>
        <v>0</v>
      </c>
      <c r="CI4" s="19">
        <f t="shared" ca="1" si="1"/>
        <v>0</v>
      </c>
      <c r="CJ4" s="19">
        <f t="shared" ca="1" si="1"/>
        <v>0</v>
      </c>
      <c r="CK4" s="19">
        <f t="shared" ca="1" si="1"/>
        <v>0</v>
      </c>
      <c r="CL4" s="19">
        <f t="shared" ca="1" si="1"/>
        <v>0</v>
      </c>
      <c r="CM4" s="19">
        <f t="shared" ca="1" si="1"/>
        <v>0</v>
      </c>
      <c r="CN4" s="19">
        <f t="shared" ca="1" si="1"/>
        <v>0</v>
      </c>
      <c r="CO4" s="19">
        <f t="shared" ca="1" si="1"/>
        <v>0</v>
      </c>
      <c r="CP4" s="19">
        <f t="shared" ca="1" si="1"/>
        <v>0</v>
      </c>
      <c r="CQ4" s="19">
        <f t="shared" ca="1" si="2"/>
        <v>0</v>
      </c>
      <c r="CR4" s="19">
        <f t="shared" ca="1" si="2"/>
        <v>0</v>
      </c>
      <c r="CS4" s="19">
        <f t="shared" ca="1" si="2"/>
        <v>0</v>
      </c>
      <c r="CT4" s="19">
        <f t="shared" ca="1" si="2"/>
        <v>0</v>
      </c>
      <c r="CU4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4" s="35"/>
      <c r="CW4" s="36">
        <f ca="1">SuiviExec[[#This Row],[CA Vendu initial (€)]]-SUM(SuiviExec[[#This Row],[CA &lt; 2021]:[CA &gt; 2023]])</f>
        <v>0</v>
      </c>
      <c r="CX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4" s="37">
        <f t="shared" ca="1" si="3"/>
        <v>0</v>
      </c>
      <c r="CZ4" s="37">
        <f t="shared" ca="1" si="3"/>
        <v>0</v>
      </c>
      <c r="DA4" s="37">
        <f t="shared" ca="1" si="3"/>
        <v>0</v>
      </c>
      <c r="DB4" s="37">
        <f t="shared" ca="1" si="3"/>
        <v>0</v>
      </c>
      <c r="DC4" s="37">
        <f t="shared" ca="1" si="3"/>
        <v>0</v>
      </c>
      <c r="DD4" s="37">
        <f t="shared" ca="1" si="3"/>
        <v>0</v>
      </c>
      <c r="DE4" s="37">
        <f t="shared" ca="1" si="3"/>
        <v>0</v>
      </c>
      <c r="DF4" s="37">
        <f t="shared" ca="1" si="3"/>
        <v>0</v>
      </c>
      <c r="DG4" s="37">
        <f t="shared" ca="1" si="3"/>
        <v>0</v>
      </c>
      <c r="DH4" s="37">
        <f t="shared" ca="1" si="3"/>
        <v>0</v>
      </c>
      <c r="DI4" s="37">
        <f t="shared" ca="1" si="3"/>
        <v>0</v>
      </c>
      <c r="DJ4" s="37">
        <f t="shared" ca="1" si="3"/>
        <v>15350</v>
      </c>
      <c r="DK4" s="37">
        <f t="shared" ca="1" si="3"/>
        <v>0</v>
      </c>
      <c r="DL4" s="37">
        <f t="shared" ca="1" si="3"/>
        <v>0</v>
      </c>
      <c r="DM4" s="37">
        <f t="shared" ca="1" si="3"/>
        <v>0</v>
      </c>
      <c r="DN4" s="37">
        <f t="shared" ca="1" si="3"/>
        <v>0</v>
      </c>
      <c r="DO4" s="37">
        <f t="shared" ca="1" si="4"/>
        <v>0</v>
      </c>
      <c r="DP4" s="37">
        <f t="shared" ca="1" si="4"/>
        <v>0</v>
      </c>
      <c r="DQ4" s="37">
        <f t="shared" ca="1" si="4"/>
        <v>0</v>
      </c>
      <c r="DR4" s="37">
        <f t="shared" ca="1" si="4"/>
        <v>0</v>
      </c>
      <c r="DS4" s="37">
        <f t="shared" ca="1" si="4"/>
        <v>0</v>
      </c>
      <c r="DT4" s="37">
        <f t="shared" ca="1" si="4"/>
        <v>0</v>
      </c>
      <c r="DU4" s="37">
        <f t="shared" ca="1" si="4"/>
        <v>0</v>
      </c>
      <c r="DV4" s="37">
        <f t="shared" ca="1" si="4"/>
        <v>0</v>
      </c>
      <c r="DW4" s="37">
        <f t="shared" ca="1" si="4"/>
        <v>0</v>
      </c>
      <c r="DX4" s="37">
        <f t="shared" ca="1" si="4"/>
        <v>0</v>
      </c>
      <c r="DY4" s="37">
        <f t="shared" ca="1" si="4"/>
        <v>0</v>
      </c>
      <c r="DZ4" s="37">
        <f t="shared" ca="1" si="4"/>
        <v>0</v>
      </c>
      <c r="EA4" s="37">
        <f t="shared" ca="1" si="4"/>
        <v>0</v>
      </c>
      <c r="EB4" s="37">
        <f t="shared" ca="1" si="4"/>
        <v>0</v>
      </c>
      <c r="EC4" s="37">
        <f t="shared" ca="1" si="4"/>
        <v>0</v>
      </c>
      <c r="ED4" s="37">
        <f t="shared" ca="1" si="4"/>
        <v>0</v>
      </c>
      <c r="EE4" s="37">
        <f t="shared" ca="1" si="5"/>
        <v>0</v>
      </c>
      <c r="EF4" s="37">
        <f t="shared" ca="1" si="5"/>
        <v>0</v>
      </c>
      <c r="EG4" s="37">
        <f t="shared" ca="1" si="5"/>
        <v>0</v>
      </c>
      <c r="EH4" s="37">
        <f t="shared" ca="1" si="5"/>
        <v>0</v>
      </c>
      <c r="EI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4" s="38">
        <f>IFERROR(SuiviExec[[#This Row],[PAT CA (€)]]/SuiviExec[[#This Row],[CA Vendu initial (€)]],0)</f>
        <v>1</v>
      </c>
      <c r="EK4" s="39"/>
      <c r="EL4" s="40" t="str">
        <f>IF(OR(ISBLANK(SuiviExec[[#This Row],[Budget MO (€)]]),ISBLANK(SuiviExec[[#This Row],[Budget Matériel (€)]]),ISBLANK(SuiviExec[[#This Row],[Budget ST (€)]])),"Budget non détaillé","")</f>
        <v/>
      </c>
    </row>
    <row r="5" spans="1:142" ht="15.75" x14ac:dyDescent="0.25">
      <c r="A5" s="14" t="s">
        <v>160</v>
      </c>
      <c r="B5" s="14" t="s">
        <v>161</v>
      </c>
      <c r="C5" s="14" t="s">
        <v>144</v>
      </c>
      <c r="D5" s="14" t="s">
        <v>157</v>
      </c>
      <c r="E5" s="14" t="s">
        <v>157</v>
      </c>
      <c r="F5" s="14" t="s">
        <v>146</v>
      </c>
      <c r="G5" s="15">
        <v>44197</v>
      </c>
      <c r="H5" s="16" t="s">
        <v>162</v>
      </c>
      <c r="I5" s="16" t="s">
        <v>163</v>
      </c>
      <c r="J5" s="17">
        <v>82895</v>
      </c>
      <c r="K5" s="17">
        <v>17337.099999999991</v>
      </c>
      <c r="L5" s="18">
        <f>IFERROR(SuiviExec[[#This Row],[Marge Vendue Initiale (€)]]/SuiviExec[[#This Row],[CA Vendu initial (€)]],"")</f>
        <v>0.20914530430062117</v>
      </c>
      <c r="M5" s="17"/>
      <c r="N5" s="19">
        <v>151</v>
      </c>
      <c r="O5" s="20">
        <f>SuiviExec[[#This Row],[Budget MO Etude (€)]]+SuiviExec[[#This Row],[Budget MO Agent (heure)]]*Taux_Horaire_Agent</f>
        <v>4379</v>
      </c>
      <c r="P5" s="17">
        <v>32800</v>
      </c>
      <c r="Q5" s="17">
        <v>28378.900000000009</v>
      </c>
      <c r="R5" s="21">
        <f>SUM(SuiviExec[[#This Row],[Budget MO (€)]:[Budget ST (€)]])</f>
        <v>65557.900000000009</v>
      </c>
      <c r="S5" s="22">
        <v>44531</v>
      </c>
      <c r="T5" s="22">
        <v>44643</v>
      </c>
      <c r="U5" s="23"/>
      <c r="V5" s="24" cm="1">
        <f t="array" ref="V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5" s="20">
        <f>IFERROR(SuiviExec[[#This Row],[Réalisé MO Etude (€)]]+SuiviExec[[#This Row],[Réalisé MO Agent (heure)]]*Taux_Horaire_Agent,0)</f>
        <v>0</v>
      </c>
      <c r="X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5" s="21">
        <f>SUM(SuiviExec[[#This Row],[Réalisé MO (€)]:[Réalisé ST (€)]])</f>
        <v>0</v>
      </c>
      <c r="AA5" s="26">
        <v>0</v>
      </c>
      <c r="AB5" s="41"/>
      <c r="AC5" s="41">
        <v>151</v>
      </c>
      <c r="AD5" s="20">
        <f>IFERROR(SuiviExec[[#This Row],[PAT MO Etude (€)]]+SuiviExec[[#This Row],[PAT MO Agent (heure)]]*Taux_Horaire_Agent,0)</f>
        <v>4379</v>
      </c>
      <c r="AE5" s="28">
        <f>SuiviExec[[#This Row],[Budget Matériel (€)]]</f>
        <v>32800</v>
      </c>
      <c r="AF5" s="28">
        <f>SuiviExec[[#This Row],[Budget ST (€)]]</f>
        <v>28378.900000000009</v>
      </c>
      <c r="AG5" s="21">
        <f>SUM(SuiviExec[[#This Row],[PAT MO (€)]:[PAT ST (€)]])</f>
        <v>65557.900000000009</v>
      </c>
      <c r="AH5" s="28">
        <v>82895</v>
      </c>
      <c r="AI5" s="21">
        <f>SuiviExec[[#This Row],[PAT CA (€)]]-SuiviExec[[#This Row],[PAT Coût Total (€)]]</f>
        <v>17337.099999999991</v>
      </c>
      <c r="AJ5" s="18">
        <f>IFERROR(SuiviExec[[#This Row],[PAT Marge (€)]]/SuiviExec[[#This Row],[PAT CA (€)]],"Saisir le PAT")</f>
        <v>0.20914530430062117</v>
      </c>
      <c r="AK5" s="29"/>
      <c r="AL5" s="28"/>
      <c r="AM5" s="29"/>
      <c r="AN5" s="28"/>
      <c r="AO5" s="30">
        <f>SuiviExec[[#This Row],[CA Vendu initial (€)]]*SuiviExec[[#This Row],[Avancement physique du chantier (%)]]</f>
        <v>0</v>
      </c>
      <c r="AP5" s="23">
        <v>0</v>
      </c>
      <c r="AQ5" s="20">
        <f>IF(SuiviExec[[#This Row],[Avancement physique du chantier (%)]]=0,0,SuiviExec[[#This Row],[Situation méritée (CA Produit)]]-SuiviExec[[#This Row],[Montant Facturé (€)]])</f>
        <v>0</v>
      </c>
      <c r="AR5" s="23">
        <v>0</v>
      </c>
      <c r="AS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5" s="23">
        <v>0</v>
      </c>
      <c r="AU5" s="20">
        <f>SuiviExec[[#This Row],[Situation méritée (CA Produit)]]-SuiviExec[[#This Row],[CA Année N-1 (2020)]]</f>
        <v>0</v>
      </c>
      <c r="AV5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5" s="20">
        <f ca="1">SUM(SuiviExec[[#This Row],[Janvier 2022 CA]:[CA &gt; 2023]])</f>
        <v>62171.25</v>
      </c>
      <c r="AX5" s="20">
        <f>SuiviExec[[#This Row],[Situation méritée (CA Produit)]]-SuiviExec[[#This Row],[CA Année N-1 (2020)]]-SuiviExec[[#This Row],[CA 2021 - Réalisé]]</f>
        <v>0</v>
      </c>
      <c r="AY5" s="23">
        <f>SuiviExec[[#This Row],[Avancement physique du chantier (%)]]*SuiviExec[[#This Row],[Budget MO (€)]]</f>
        <v>0</v>
      </c>
      <c r="AZ5" s="23">
        <f>SuiviExec[[#This Row],[Avancement physique du chantier (%)]]*SuiviExec[[#This Row],[Budget Matériel (€)]]</f>
        <v>0</v>
      </c>
      <c r="BA5" s="23">
        <f>SuiviExec[[#This Row],[Budget ST (€)]]*SuiviExec[[#This Row],[Avancement physique du chantier (%)]]</f>
        <v>0</v>
      </c>
      <c r="BB5" s="20">
        <f>SUM(SuiviExec[[#This Row],[Charges 2021 MO (€)]:[Charges 2021 ST (€)]])</f>
        <v>0</v>
      </c>
      <c r="BC5" s="31">
        <v>0</v>
      </c>
      <c r="BD5" s="42">
        <f>SuiviExec[[#This Row],[CA 2021 - Réalisé]]-SuiviExec[[#This Row],[Charges 2021 à date]]</f>
        <v>0</v>
      </c>
      <c r="BE5" s="18" t="str">
        <f>IF(SuiviExec[[#This Row],[Avancement physique du chantier (%)]]&gt;0,IFERROR(SuiviExec[[#This Row],[Marge 2021 à date]]/SuiviExec[[#This Row],[CA 2021 - Réalisé]],""),"")</f>
        <v/>
      </c>
      <c r="BF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5" s="29"/>
      <c r="BH5" s="33">
        <f>(SuiviExec[[#This Row],[Budget MO Etude (€)]]/Taux_Horaire_Etude+SuiviExec[[#This Row],[Budget MO Agent (heure)]])</f>
        <v>151</v>
      </c>
      <c r="BI5" s="34">
        <f ca="1">SuiviExec[[#This Row],[Estimation Budget MO (heures)]]-SUM(SuiviExec[[#This Row],[MO &lt; 2021]:[MO &gt; 2023]])</f>
        <v>0</v>
      </c>
      <c r="BJ5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5" s="19">
        <f t="shared" ca="1" si="0"/>
        <v>0</v>
      </c>
      <c r="BL5" s="19">
        <f t="shared" ca="1" si="0"/>
        <v>0</v>
      </c>
      <c r="BM5" s="19">
        <f t="shared" ca="1" si="0"/>
        <v>0</v>
      </c>
      <c r="BN5" s="19">
        <f t="shared" ca="1" si="0"/>
        <v>0</v>
      </c>
      <c r="BO5" s="19">
        <f t="shared" ca="1" si="0"/>
        <v>0</v>
      </c>
      <c r="BP5" s="19">
        <f t="shared" ca="1" si="0"/>
        <v>0</v>
      </c>
      <c r="BQ5" s="19">
        <f t="shared" ca="1" si="0"/>
        <v>0</v>
      </c>
      <c r="BR5" s="19">
        <f t="shared" ca="1" si="0"/>
        <v>0</v>
      </c>
      <c r="BS5" s="19">
        <f t="shared" ca="1" si="0"/>
        <v>0</v>
      </c>
      <c r="BT5" s="19">
        <f t="shared" ca="1" si="0"/>
        <v>0</v>
      </c>
      <c r="BU5" s="19">
        <f t="shared" ca="1" si="0"/>
        <v>0</v>
      </c>
      <c r="BV5" s="19">
        <f t="shared" ca="1" si="0"/>
        <v>37.75</v>
      </c>
      <c r="BW5" s="19">
        <f t="shared" ca="1" si="0"/>
        <v>37.75</v>
      </c>
      <c r="BX5" s="19">
        <f t="shared" ca="1" si="0"/>
        <v>37.75</v>
      </c>
      <c r="BY5" s="19">
        <f t="shared" ca="1" si="0"/>
        <v>37.75</v>
      </c>
      <c r="BZ5" s="19">
        <f t="shared" ca="1" si="0"/>
        <v>0</v>
      </c>
      <c r="CA5" s="19">
        <f t="shared" ca="1" si="1"/>
        <v>0</v>
      </c>
      <c r="CB5" s="19">
        <f t="shared" ca="1" si="1"/>
        <v>0</v>
      </c>
      <c r="CC5" s="19">
        <f t="shared" ca="1" si="1"/>
        <v>0</v>
      </c>
      <c r="CD5" s="19">
        <f t="shared" ca="1" si="1"/>
        <v>0</v>
      </c>
      <c r="CE5" s="19">
        <f t="shared" ca="1" si="1"/>
        <v>0</v>
      </c>
      <c r="CF5" s="19">
        <f t="shared" ca="1" si="1"/>
        <v>0</v>
      </c>
      <c r="CG5" s="19">
        <f t="shared" ca="1" si="1"/>
        <v>0</v>
      </c>
      <c r="CH5" s="19">
        <f t="shared" ca="1" si="1"/>
        <v>0</v>
      </c>
      <c r="CI5" s="19">
        <f t="shared" ca="1" si="1"/>
        <v>0</v>
      </c>
      <c r="CJ5" s="19">
        <f t="shared" ca="1" si="1"/>
        <v>0</v>
      </c>
      <c r="CK5" s="19">
        <f t="shared" ca="1" si="1"/>
        <v>0</v>
      </c>
      <c r="CL5" s="19">
        <f t="shared" ca="1" si="1"/>
        <v>0</v>
      </c>
      <c r="CM5" s="19">
        <f t="shared" ca="1" si="1"/>
        <v>0</v>
      </c>
      <c r="CN5" s="19">
        <f t="shared" ca="1" si="1"/>
        <v>0</v>
      </c>
      <c r="CO5" s="19">
        <f t="shared" ca="1" si="1"/>
        <v>0</v>
      </c>
      <c r="CP5" s="19">
        <f t="shared" ca="1" si="1"/>
        <v>0</v>
      </c>
      <c r="CQ5" s="19">
        <f t="shared" ca="1" si="2"/>
        <v>0</v>
      </c>
      <c r="CR5" s="19">
        <f t="shared" ca="1" si="2"/>
        <v>0</v>
      </c>
      <c r="CS5" s="19">
        <f t="shared" ca="1" si="2"/>
        <v>0</v>
      </c>
      <c r="CT5" s="19">
        <f t="shared" ca="1" si="2"/>
        <v>0</v>
      </c>
      <c r="CU5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5" s="35"/>
      <c r="CW5" s="36">
        <f ca="1">SuiviExec[[#This Row],[CA Vendu initial (€)]]-SUM(SuiviExec[[#This Row],[CA &lt; 2021]:[CA &gt; 2023]])</f>
        <v>0</v>
      </c>
      <c r="CX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5" s="37">
        <f t="shared" ca="1" si="3"/>
        <v>0</v>
      </c>
      <c r="CZ5" s="37">
        <f t="shared" ca="1" si="3"/>
        <v>0</v>
      </c>
      <c r="DA5" s="37">
        <f t="shared" ca="1" si="3"/>
        <v>0</v>
      </c>
      <c r="DB5" s="37">
        <f t="shared" ca="1" si="3"/>
        <v>0</v>
      </c>
      <c r="DC5" s="37">
        <f t="shared" ca="1" si="3"/>
        <v>0</v>
      </c>
      <c r="DD5" s="37">
        <f t="shared" ca="1" si="3"/>
        <v>0</v>
      </c>
      <c r="DE5" s="37">
        <f t="shared" ca="1" si="3"/>
        <v>0</v>
      </c>
      <c r="DF5" s="37">
        <f t="shared" ca="1" si="3"/>
        <v>0</v>
      </c>
      <c r="DG5" s="37">
        <f t="shared" ca="1" si="3"/>
        <v>0</v>
      </c>
      <c r="DH5" s="37">
        <f t="shared" ca="1" si="3"/>
        <v>0</v>
      </c>
      <c r="DI5" s="37">
        <f t="shared" ca="1" si="3"/>
        <v>0</v>
      </c>
      <c r="DJ5" s="37">
        <f t="shared" ca="1" si="3"/>
        <v>20723.75</v>
      </c>
      <c r="DK5" s="37">
        <f t="shared" ca="1" si="3"/>
        <v>20723.75</v>
      </c>
      <c r="DL5" s="37">
        <f t="shared" ca="1" si="3"/>
        <v>20723.75</v>
      </c>
      <c r="DM5" s="37">
        <f t="shared" ca="1" si="3"/>
        <v>20723.75</v>
      </c>
      <c r="DN5" s="37">
        <f t="shared" ca="1" si="3"/>
        <v>0</v>
      </c>
      <c r="DO5" s="37">
        <f t="shared" ca="1" si="4"/>
        <v>0</v>
      </c>
      <c r="DP5" s="37">
        <f t="shared" ca="1" si="4"/>
        <v>0</v>
      </c>
      <c r="DQ5" s="37">
        <f t="shared" ca="1" si="4"/>
        <v>0</v>
      </c>
      <c r="DR5" s="37">
        <f t="shared" ca="1" si="4"/>
        <v>0</v>
      </c>
      <c r="DS5" s="37">
        <f t="shared" ca="1" si="4"/>
        <v>0</v>
      </c>
      <c r="DT5" s="37">
        <f t="shared" ca="1" si="4"/>
        <v>0</v>
      </c>
      <c r="DU5" s="37">
        <f t="shared" ca="1" si="4"/>
        <v>0</v>
      </c>
      <c r="DV5" s="37">
        <f t="shared" ca="1" si="4"/>
        <v>0</v>
      </c>
      <c r="DW5" s="37">
        <f t="shared" ca="1" si="4"/>
        <v>0</v>
      </c>
      <c r="DX5" s="37">
        <f t="shared" ca="1" si="4"/>
        <v>0</v>
      </c>
      <c r="DY5" s="37">
        <f t="shared" ca="1" si="4"/>
        <v>0</v>
      </c>
      <c r="DZ5" s="37">
        <f t="shared" ca="1" si="4"/>
        <v>0</v>
      </c>
      <c r="EA5" s="37">
        <f t="shared" ca="1" si="4"/>
        <v>0</v>
      </c>
      <c r="EB5" s="37">
        <f t="shared" ca="1" si="4"/>
        <v>0</v>
      </c>
      <c r="EC5" s="37">
        <f t="shared" ca="1" si="4"/>
        <v>0</v>
      </c>
      <c r="ED5" s="37">
        <f t="shared" ca="1" si="4"/>
        <v>0</v>
      </c>
      <c r="EE5" s="37">
        <f t="shared" ca="1" si="5"/>
        <v>0</v>
      </c>
      <c r="EF5" s="37">
        <f t="shared" ca="1" si="5"/>
        <v>0</v>
      </c>
      <c r="EG5" s="37">
        <f t="shared" ca="1" si="5"/>
        <v>0</v>
      </c>
      <c r="EH5" s="37">
        <f t="shared" ca="1" si="5"/>
        <v>0</v>
      </c>
      <c r="EI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5" s="38">
        <f>IFERROR(SuiviExec[[#This Row],[PAT CA (€)]]/SuiviExec[[#This Row],[CA Vendu initial (€)]],0)</f>
        <v>1</v>
      </c>
      <c r="EK5" s="39"/>
      <c r="EL5" s="40" t="str">
        <f>IF(OR(ISBLANK(SuiviExec[[#This Row],[Budget MO (€)]]),ISBLANK(SuiviExec[[#This Row],[Budget Matériel (€)]]),ISBLANK(SuiviExec[[#This Row],[Budget ST (€)]])),"Budget non détaillé","")</f>
        <v/>
      </c>
    </row>
    <row r="6" spans="1:142" ht="15.75" x14ac:dyDescent="0.25">
      <c r="A6" s="14" t="s">
        <v>164</v>
      </c>
      <c r="B6" s="14" t="s">
        <v>165</v>
      </c>
      <c r="C6" s="14" t="s">
        <v>144</v>
      </c>
      <c r="D6" s="14" t="s">
        <v>152</v>
      </c>
      <c r="E6" s="14" t="s">
        <v>152</v>
      </c>
      <c r="F6" s="14" t="s">
        <v>146</v>
      </c>
      <c r="G6" s="15">
        <v>44517</v>
      </c>
      <c r="H6" s="16" t="s">
        <v>166</v>
      </c>
      <c r="I6" s="16" t="s">
        <v>167</v>
      </c>
      <c r="J6" s="17">
        <v>8550</v>
      </c>
      <c r="K6" s="17">
        <v>2578</v>
      </c>
      <c r="L6" s="18">
        <f>IFERROR(SuiviExec[[#This Row],[Marge Vendue Initiale (€)]]/SuiviExec[[#This Row],[CA Vendu initial (€)]],"")</f>
        <v>0.3015204678362573</v>
      </c>
      <c r="M6" s="17"/>
      <c r="N6" s="19">
        <v>28</v>
      </c>
      <c r="O6" s="20">
        <f>SuiviExec[[#This Row],[Budget MO Etude (€)]]+SuiviExec[[#This Row],[Budget MO Agent (heure)]]*Taux_Horaire_Agent</f>
        <v>812</v>
      </c>
      <c r="P6" s="17">
        <v>4200</v>
      </c>
      <c r="Q6" s="17">
        <v>960</v>
      </c>
      <c r="R6" s="21">
        <f>SUM(SuiviExec[[#This Row],[Budget MO (€)]:[Budget ST (€)]])</f>
        <v>5972</v>
      </c>
      <c r="S6" s="22">
        <v>44571</v>
      </c>
      <c r="T6" s="22">
        <v>44585</v>
      </c>
      <c r="U6" s="23"/>
      <c r="V6" s="24" cm="1">
        <f t="array" ref="V6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6" s="20">
        <f>IFERROR(SuiviExec[[#This Row],[Réalisé MO Etude (€)]]+SuiviExec[[#This Row],[Réalisé MO Agent (heure)]]*Taux_Horaire_Agent,0)</f>
        <v>0</v>
      </c>
      <c r="X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6" s="21">
        <f>SUM(SuiviExec[[#This Row],[Réalisé MO (€)]:[Réalisé ST (€)]])</f>
        <v>0</v>
      </c>
      <c r="AA6" s="26">
        <v>0</v>
      </c>
      <c r="AB6" s="41"/>
      <c r="AC6" s="41">
        <v>28</v>
      </c>
      <c r="AD6" s="20">
        <f>IFERROR(SuiviExec[[#This Row],[PAT MO Etude (€)]]+SuiviExec[[#This Row],[PAT MO Agent (heure)]]*Taux_Horaire_Agent,0)</f>
        <v>812</v>
      </c>
      <c r="AE6" s="28">
        <f>SuiviExec[[#This Row],[Budget Matériel (€)]]</f>
        <v>4200</v>
      </c>
      <c r="AF6" s="28">
        <f>SuiviExec[[#This Row],[Budget ST (€)]]</f>
        <v>960</v>
      </c>
      <c r="AG6" s="21">
        <f>SUM(SuiviExec[[#This Row],[PAT MO (€)]:[PAT ST (€)]])</f>
        <v>5972</v>
      </c>
      <c r="AH6" s="28">
        <v>8550</v>
      </c>
      <c r="AI6" s="21">
        <f>SuiviExec[[#This Row],[PAT CA (€)]]-SuiviExec[[#This Row],[PAT Coût Total (€)]]</f>
        <v>2578</v>
      </c>
      <c r="AJ6" s="18">
        <f>IFERROR(SuiviExec[[#This Row],[PAT Marge (€)]]/SuiviExec[[#This Row],[PAT CA (€)]],"Saisir le PAT")</f>
        <v>0.3015204678362573</v>
      </c>
      <c r="AK6" s="29"/>
      <c r="AL6" s="28"/>
      <c r="AM6" s="29"/>
      <c r="AN6" s="28"/>
      <c r="AO6" s="30">
        <f>SuiviExec[[#This Row],[CA Vendu initial (€)]]*SuiviExec[[#This Row],[Avancement physique du chantier (%)]]</f>
        <v>0</v>
      </c>
      <c r="AP6" s="23">
        <v>0</v>
      </c>
      <c r="AQ6" s="20">
        <f>IF(SuiviExec[[#This Row],[Avancement physique du chantier (%)]]=0,0,SuiviExec[[#This Row],[Situation méritée (CA Produit)]]-SuiviExec[[#This Row],[Montant Facturé (€)]])</f>
        <v>0</v>
      </c>
      <c r="AR6" s="23">
        <v>0</v>
      </c>
      <c r="AS6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6" s="23">
        <v>0</v>
      </c>
      <c r="AU6" s="20">
        <f>SuiviExec[[#This Row],[Situation méritée (CA Produit)]]-SuiviExec[[#This Row],[CA Année N-1 (2020)]]</f>
        <v>0</v>
      </c>
      <c r="AV6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6" s="20">
        <f ca="1">SUM(SuiviExec[[#This Row],[Janvier 2022 CA]:[CA &gt; 2023]])</f>
        <v>8550</v>
      </c>
      <c r="AX6" s="20">
        <f>SuiviExec[[#This Row],[Situation méritée (CA Produit)]]-SuiviExec[[#This Row],[CA Année N-1 (2020)]]-SuiviExec[[#This Row],[CA 2021 - Réalisé]]</f>
        <v>0</v>
      </c>
      <c r="AY6" s="23">
        <f>SuiviExec[[#This Row],[Avancement physique du chantier (%)]]*SuiviExec[[#This Row],[Budget MO (€)]]</f>
        <v>0</v>
      </c>
      <c r="AZ6" s="23">
        <f>SuiviExec[[#This Row],[Avancement physique du chantier (%)]]*SuiviExec[[#This Row],[Budget Matériel (€)]]</f>
        <v>0</v>
      </c>
      <c r="BA6" s="23">
        <f>SuiviExec[[#This Row],[Budget ST (€)]]*SuiviExec[[#This Row],[Avancement physique du chantier (%)]]</f>
        <v>0</v>
      </c>
      <c r="BB6" s="20">
        <f>SUM(SuiviExec[[#This Row],[Charges 2021 MO (€)]:[Charges 2021 ST (€)]])</f>
        <v>0</v>
      </c>
      <c r="BC6" s="31">
        <v>0</v>
      </c>
      <c r="BD6" s="42">
        <f>SuiviExec[[#This Row],[CA 2021 - Réalisé]]-SuiviExec[[#This Row],[Charges 2021 à date]]</f>
        <v>0</v>
      </c>
      <c r="BE6" s="18" t="str">
        <f>IF(SuiviExec[[#This Row],[Avancement physique du chantier (%)]]&gt;0,IFERROR(SuiviExec[[#This Row],[Marge 2021 à date]]/SuiviExec[[#This Row],[CA 2021 - Réalisé]],""),"")</f>
        <v/>
      </c>
      <c r="BF6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6" s="29"/>
      <c r="BH6" s="33">
        <f>(SuiviExec[[#This Row],[Budget MO Etude (€)]]/Taux_Horaire_Etude+SuiviExec[[#This Row],[Budget MO Agent (heure)]])</f>
        <v>28</v>
      </c>
      <c r="BI6" s="34">
        <f ca="1">SuiviExec[[#This Row],[Estimation Budget MO (heures)]]-SUM(SuiviExec[[#This Row],[MO &lt; 2021]:[MO &gt; 2023]])</f>
        <v>0</v>
      </c>
      <c r="BJ6" s="19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6" s="19">
        <f t="shared" ca="1" si="0"/>
        <v>0</v>
      </c>
      <c r="BL6" s="19">
        <f t="shared" ca="1" si="0"/>
        <v>0</v>
      </c>
      <c r="BM6" s="19">
        <f t="shared" ca="1" si="0"/>
        <v>0</v>
      </c>
      <c r="BN6" s="19">
        <f t="shared" ca="1" si="0"/>
        <v>0</v>
      </c>
      <c r="BO6" s="19">
        <f t="shared" ca="1" si="0"/>
        <v>0</v>
      </c>
      <c r="BP6" s="19">
        <f t="shared" ca="1" si="0"/>
        <v>0</v>
      </c>
      <c r="BQ6" s="19">
        <f t="shared" ca="1" si="0"/>
        <v>0</v>
      </c>
      <c r="BR6" s="19">
        <f t="shared" ca="1" si="0"/>
        <v>0</v>
      </c>
      <c r="BS6" s="19">
        <f t="shared" ca="1" si="0"/>
        <v>0</v>
      </c>
      <c r="BT6" s="19">
        <f t="shared" ca="1" si="0"/>
        <v>0</v>
      </c>
      <c r="BU6" s="19">
        <f t="shared" ca="1" si="0"/>
        <v>0</v>
      </c>
      <c r="BV6" s="19">
        <f t="shared" ca="1" si="0"/>
        <v>0</v>
      </c>
      <c r="BW6" s="19">
        <f t="shared" ca="1" si="0"/>
        <v>28</v>
      </c>
      <c r="BX6" s="19">
        <f t="shared" ca="1" si="0"/>
        <v>0</v>
      </c>
      <c r="BY6" s="19">
        <f t="shared" ca="1" si="0"/>
        <v>0</v>
      </c>
      <c r="BZ6" s="19">
        <f t="shared" ca="1" si="0"/>
        <v>0</v>
      </c>
      <c r="CA6" s="19">
        <f t="shared" ca="1" si="1"/>
        <v>0</v>
      </c>
      <c r="CB6" s="19">
        <f t="shared" ca="1" si="1"/>
        <v>0</v>
      </c>
      <c r="CC6" s="19">
        <f t="shared" ca="1" si="1"/>
        <v>0</v>
      </c>
      <c r="CD6" s="19">
        <f t="shared" ca="1" si="1"/>
        <v>0</v>
      </c>
      <c r="CE6" s="19">
        <f t="shared" ca="1" si="1"/>
        <v>0</v>
      </c>
      <c r="CF6" s="19">
        <f t="shared" ca="1" si="1"/>
        <v>0</v>
      </c>
      <c r="CG6" s="19">
        <f t="shared" ca="1" si="1"/>
        <v>0</v>
      </c>
      <c r="CH6" s="19">
        <f t="shared" ca="1" si="1"/>
        <v>0</v>
      </c>
      <c r="CI6" s="19">
        <f t="shared" ca="1" si="1"/>
        <v>0</v>
      </c>
      <c r="CJ6" s="19">
        <f t="shared" ca="1" si="1"/>
        <v>0</v>
      </c>
      <c r="CK6" s="19">
        <f t="shared" ca="1" si="1"/>
        <v>0</v>
      </c>
      <c r="CL6" s="19">
        <f t="shared" ca="1" si="1"/>
        <v>0</v>
      </c>
      <c r="CM6" s="19">
        <f t="shared" ca="1" si="1"/>
        <v>0</v>
      </c>
      <c r="CN6" s="19">
        <f t="shared" ca="1" si="1"/>
        <v>0</v>
      </c>
      <c r="CO6" s="19">
        <f t="shared" ca="1" si="1"/>
        <v>0</v>
      </c>
      <c r="CP6" s="19">
        <f t="shared" ca="1" si="1"/>
        <v>0</v>
      </c>
      <c r="CQ6" s="19">
        <f t="shared" ca="1" si="2"/>
        <v>0</v>
      </c>
      <c r="CR6" s="19">
        <f t="shared" ca="1" si="2"/>
        <v>0</v>
      </c>
      <c r="CS6" s="19">
        <f t="shared" ca="1" si="2"/>
        <v>0</v>
      </c>
      <c r="CT6" s="19">
        <f t="shared" ca="1" si="2"/>
        <v>0</v>
      </c>
      <c r="CU6" s="19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6" s="35"/>
      <c r="CW6" s="36">
        <f ca="1">SuiviExec[[#This Row],[CA Vendu initial (€)]]-SUM(SuiviExec[[#This Row],[CA &lt; 2021]:[CA &gt; 2023]])</f>
        <v>0</v>
      </c>
      <c r="CX6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6" s="37">
        <f t="shared" ca="1" si="3"/>
        <v>0</v>
      </c>
      <c r="CZ6" s="37">
        <f t="shared" ca="1" si="3"/>
        <v>0</v>
      </c>
      <c r="DA6" s="37">
        <f t="shared" ca="1" si="3"/>
        <v>0</v>
      </c>
      <c r="DB6" s="37">
        <f t="shared" ca="1" si="3"/>
        <v>0</v>
      </c>
      <c r="DC6" s="37">
        <f t="shared" ca="1" si="3"/>
        <v>0</v>
      </c>
      <c r="DD6" s="37">
        <f t="shared" ca="1" si="3"/>
        <v>0</v>
      </c>
      <c r="DE6" s="37">
        <f t="shared" ca="1" si="3"/>
        <v>0</v>
      </c>
      <c r="DF6" s="37">
        <f t="shared" ca="1" si="3"/>
        <v>0</v>
      </c>
      <c r="DG6" s="37">
        <f t="shared" ca="1" si="3"/>
        <v>0</v>
      </c>
      <c r="DH6" s="37">
        <f t="shared" ca="1" si="3"/>
        <v>0</v>
      </c>
      <c r="DI6" s="37">
        <f t="shared" ca="1" si="3"/>
        <v>0</v>
      </c>
      <c r="DJ6" s="37">
        <f t="shared" ca="1" si="3"/>
        <v>0</v>
      </c>
      <c r="DK6" s="37">
        <f t="shared" ca="1" si="3"/>
        <v>8550</v>
      </c>
      <c r="DL6" s="37">
        <f t="shared" ca="1" si="3"/>
        <v>0</v>
      </c>
      <c r="DM6" s="37">
        <f t="shared" ca="1" si="3"/>
        <v>0</v>
      </c>
      <c r="DN6" s="37">
        <f t="shared" ca="1" si="3"/>
        <v>0</v>
      </c>
      <c r="DO6" s="37">
        <f t="shared" ca="1" si="4"/>
        <v>0</v>
      </c>
      <c r="DP6" s="37">
        <f t="shared" ca="1" si="4"/>
        <v>0</v>
      </c>
      <c r="DQ6" s="37">
        <f t="shared" ca="1" si="4"/>
        <v>0</v>
      </c>
      <c r="DR6" s="37">
        <f t="shared" ca="1" si="4"/>
        <v>0</v>
      </c>
      <c r="DS6" s="37">
        <f t="shared" ca="1" si="4"/>
        <v>0</v>
      </c>
      <c r="DT6" s="37">
        <f t="shared" ca="1" si="4"/>
        <v>0</v>
      </c>
      <c r="DU6" s="37">
        <f t="shared" ca="1" si="4"/>
        <v>0</v>
      </c>
      <c r="DV6" s="37">
        <f t="shared" ca="1" si="4"/>
        <v>0</v>
      </c>
      <c r="DW6" s="37">
        <f t="shared" ca="1" si="4"/>
        <v>0</v>
      </c>
      <c r="DX6" s="37">
        <f t="shared" ca="1" si="4"/>
        <v>0</v>
      </c>
      <c r="DY6" s="37">
        <f t="shared" ca="1" si="4"/>
        <v>0</v>
      </c>
      <c r="DZ6" s="37">
        <f t="shared" ca="1" si="4"/>
        <v>0</v>
      </c>
      <c r="EA6" s="37">
        <f t="shared" ca="1" si="4"/>
        <v>0</v>
      </c>
      <c r="EB6" s="37">
        <f t="shared" ca="1" si="4"/>
        <v>0</v>
      </c>
      <c r="EC6" s="37">
        <f t="shared" ca="1" si="4"/>
        <v>0</v>
      </c>
      <c r="ED6" s="37">
        <f t="shared" ca="1" si="4"/>
        <v>0</v>
      </c>
      <c r="EE6" s="37">
        <f t="shared" ca="1" si="5"/>
        <v>0</v>
      </c>
      <c r="EF6" s="37">
        <f t="shared" ca="1" si="5"/>
        <v>0</v>
      </c>
      <c r="EG6" s="37">
        <f t="shared" ca="1" si="5"/>
        <v>0</v>
      </c>
      <c r="EH6" s="37">
        <f t="shared" ca="1" si="5"/>
        <v>0</v>
      </c>
      <c r="EI6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6" s="38">
        <f>IFERROR(SuiviExec[[#This Row],[PAT CA (€)]]/SuiviExec[[#This Row],[CA Vendu initial (€)]],0)</f>
        <v>1</v>
      </c>
      <c r="EK6" s="39"/>
      <c r="EL6" s="40" t="str">
        <f>IF(OR(ISBLANK(SuiviExec[[#This Row],[Budget MO (€)]]),ISBLANK(SuiviExec[[#This Row],[Budget Matériel (€)]]),ISBLANK(SuiviExec[[#This Row],[Budget ST (€)]])),"Budget non détaillé","")</f>
        <v/>
      </c>
    </row>
    <row r="7" spans="1:142" ht="15.75" x14ac:dyDescent="0.25">
      <c r="A7" s="14" t="s">
        <v>168</v>
      </c>
      <c r="B7" s="14" t="s">
        <v>169</v>
      </c>
      <c r="C7" s="14" t="s">
        <v>144</v>
      </c>
      <c r="D7" s="14" t="s">
        <v>152</v>
      </c>
      <c r="E7" s="14" t="s">
        <v>152</v>
      </c>
      <c r="F7" s="14" t="s">
        <v>146</v>
      </c>
      <c r="G7" s="15">
        <v>44515</v>
      </c>
      <c r="H7" s="16" t="s">
        <v>170</v>
      </c>
      <c r="I7" s="16" t="s">
        <v>171</v>
      </c>
      <c r="J7" s="17">
        <v>4450</v>
      </c>
      <c r="K7" s="17">
        <v>1040</v>
      </c>
      <c r="L7" s="18">
        <f>IFERROR(SuiviExec[[#This Row],[Marge Vendue Initiale (€)]]/SuiviExec[[#This Row],[CA Vendu initial (€)]],"")</f>
        <v>0.23370786516853934</v>
      </c>
      <c r="M7" s="17"/>
      <c r="N7" s="19">
        <v>10</v>
      </c>
      <c r="O7" s="20">
        <f>SuiviExec[[#This Row],[Budget MO Etude (€)]]+SuiviExec[[#This Row],[Budget MO Agent (heure)]]*Taux_Horaire_Agent</f>
        <v>290</v>
      </c>
      <c r="P7" s="17">
        <v>2900</v>
      </c>
      <c r="Q7" s="17">
        <v>220</v>
      </c>
      <c r="R7" s="21">
        <f>SUM(SuiviExec[[#This Row],[Budget MO (€)]:[Budget ST (€)]])</f>
        <v>3410</v>
      </c>
      <c r="S7" s="22">
        <v>44539</v>
      </c>
      <c r="T7" s="22">
        <v>44546</v>
      </c>
      <c r="U7" s="23"/>
      <c r="V7" s="24" cm="1">
        <f t="array" ref="V7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7" s="20">
        <f>IFERROR(SuiviExec[[#This Row],[Réalisé MO Etude (€)]]+SuiviExec[[#This Row],[Réalisé MO Agent (heure)]]*Taux_Horaire_Agent,0)</f>
        <v>0</v>
      </c>
      <c r="X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7" s="21">
        <f>SUM(SuiviExec[[#This Row],[Réalisé MO (€)]:[Réalisé ST (€)]])</f>
        <v>0</v>
      </c>
      <c r="AA7" s="26">
        <v>0</v>
      </c>
      <c r="AB7" s="41"/>
      <c r="AC7" s="41">
        <v>10</v>
      </c>
      <c r="AD7" s="20">
        <f>IFERROR(SuiviExec[[#This Row],[PAT MO Etude (€)]]+SuiviExec[[#This Row],[PAT MO Agent (heure)]]*Taux_Horaire_Agent,0)</f>
        <v>290</v>
      </c>
      <c r="AE7" s="28">
        <f>SuiviExec[[#This Row],[Budget Matériel (€)]]</f>
        <v>2900</v>
      </c>
      <c r="AF7" s="28">
        <f>SuiviExec[[#This Row],[Budget ST (€)]]</f>
        <v>220</v>
      </c>
      <c r="AG7" s="21">
        <f>SUM(SuiviExec[[#This Row],[PAT MO (€)]:[PAT ST (€)]])</f>
        <v>3410</v>
      </c>
      <c r="AH7" s="28">
        <v>4450</v>
      </c>
      <c r="AI7" s="21">
        <f>SuiviExec[[#This Row],[PAT CA (€)]]-SuiviExec[[#This Row],[PAT Coût Total (€)]]</f>
        <v>1040</v>
      </c>
      <c r="AJ7" s="18">
        <f>IFERROR(SuiviExec[[#This Row],[PAT Marge (€)]]/SuiviExec[[#This Row],[PAT CA (€)]],"Saisir le PAT")</f>
        <v>0.23370786516853934</v>
      </c>
      <c r="AK7" s="29"/>
      <c r="AL7" s="28"/>
      <c r="AM7" s="29"/>
      <c r="AN7" s="28"/>
      <c r="AO7" s="30">
        <f>SuiviExec[[#This Row],[CA Vendu initial (€)]]*SuiviExec[[#This Row],[Avancement physique du chantier (%)]]</f>
        <v>0</v>
      </c>
      <c r="AP7" s="23">
        <v>0</v>
      </c>
      <c r="AQ7" s="20">
        <f>IF(SuiviExec[[#This Row],[Avancement physique du chantier (%)]]=0,0,SuiviExec[[#This Row],[Situation méritée (CA Produit)]]-SuiviExec[[#This Row],[Montant Facturé (€)]])</f>
        <v>0</v>
      </c>
      <c r="AR7" s="23">
        <v>0</v>
      </c>
      <c r="AS7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7" s="23">
        <v>0</v>
      </c>
      <c r="AU7" s="20">
        <f>SuiviExec[[#This Row],[Situation méritée (CA Produit)]]-SuiviExec[[#This Row],[CA Année N-1 (2020)]]</f>
        <v>0</v>
      </c>
      <c r="AV7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7" s="20">
        <f ca="1">SUM(SuiviExec[[#This Row],[Janvier 2022 CA]:[CA &gt; 2023]])</f>
        <v>0</v>
      </c>
      <c r="AX7" s="20">
        <f>SuiviExec[[#This Row],[Situation méritée (CA Produit)]]-SuiviExec[[#This Row],[CA Année N-1 (2020)]]-SuiviExec[[#This Row],[CA 2021 - Réalisé]]</f>
        <v>0</v>
      </c>
      <c r="AY7" s="23">
        <f>SuiviExec[[#This Row],[Avancement physique du chantier (%)]]*SuiviExec[[#This Row],[Budget MO (€)]]</f>
        <v>0</v>
      </c>
      <c r="AZ7" s="23">
        <f>SuiviExec[[#This Row],[Avancement physique du chantier (%)]]*SuiviExec[[#This Row],[Budget Matériel (€)]]</f>
        <v>0</v>
      </c>
      <c r="BA7" s="23">
        <f>SuiviExec[[#This Row],[Budget ST (€)]]*SuiviExec[[#This Row],[Avancement physique du chantier (%)]]</f>
        <v>0</v>
      </c>
      <c r="BB7" s="20">
        <f>SUM(SuiviExec[[#This Row],[Charges 2021 MO (€)]:[Charges 2021 ST (€)]])</f>
        <v>0</v>
      </c>
      <c r="BC7" s="31">
        <v>0</v>
      </c>
      <c r="BD7" s="42">
        <f>SuiviExec[[#This Row],[CA 2021 - Réalisé]]-SuiviExec[[#This Row],[Charges 2021 à date]]</f>
        <v>0</v>
      </c>
      <c r="BE7" s="18" t="str">
        <f>IF(SuiviExec[[#This Row],[Avancement physique du chantier (%)]]&gt;0,IFERROR(SuiviExec[[#This Row],[Marge 2021 à date]]/SuiviExec[[#This Row],[CA 2021 - Réalisé]],""),"")</f>
        <v/>
      </c>
      <c r="BF7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7" s="29"/>
      <c r="BH7" s="33">
        <f>(SuiviExec[[#This Row],[Budget MO Etude (€)]]/Taux_Horaire_Etude+SuiviExec[[#This Row],[Budget MO Agent (heure)]])</f>
        <v>10</v>
      </c>
      <c r="BI7" s="34">
        <f ca="1">SuiviExec[[#This Row],[Estimation Budget MO (heures)]]-SUM(SuiviExec[[#This Row],[MO &lt; 2021]:[MO &gt; 2023]])</f>
        <v>0</v>
      </c>
      <c r="BJ7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7" s="19">
        <f t="shared" ca="1" si="0"/>
        <v>0</v>
      </c>
      <c r="BL7" s="19">
        <f t="shared" ca="1" si="0"/>
        <v>0</v>
      </c>
      <c r="BM7" s="19">
        <f t="shared" ca="1" si="0"/>
        <v>0</v>
      </c>
      <c r="BN7" s="19">
        <f t="shared" ca="1" si="0"/>
        <v>0</v>
      </c>
      <c r="BO7" s="19">
        <f t="shared" ca="1" si="0"/>
        <v>0</v>
      </c>
      <c r="BP7" s="19">
        <f t="shared" ca="1" si="0"/>
        <v>0</v>
      </c>
      <c r="BQ7" s="19">
        <f t="shared" ca="1" si="0"/>
        <v>0</v>
      </c>
      <c r="BR7" s="19">
        <f t="shared" ca="1" si="0"/>
        <v>0</v>
      </c>
      <c r="BS7" s="19">
        <f t="shared" ca="1" si="0"/>
        <v>0</v>
      </c>
      <c r="BT7" s="19">
        <f t="shared" ca="1" si="0"/>
        <v>0</v>
      </c>
      <c r="BU7" s="19">
        <f t="shared" ca="1" si="0"/>
        <v>0</v>
      </c>
      <c r="BV7" s="19">
        <f t="shared" ca="1" si="0"/>
        <v>10</v>
      </c>
      <c r="BW7" s="19">
        <f t="shared" ca="1" si="0"/>
        <v>0</v>
      </c>
      <c r="BX7" s="19">
        <f t="shared" ca="1" si="0"/>
        <v>0</v>
      </c>
      <c r="BY7" s="19">
        <f t="shared" ca="1" si="0"/>
        <v>0</v>
      </c>
      <c r="BZ7" s="19">
        <f t="shared" ca="1" si="0"/>
        <v>0</v>
      </c>
      <c r="CA7" s="19">
        <f t="shared" ca="1" si="1"/>
        <v>0</v>
      </c>
      <c r="CB7" s="19">
        <f t="shared" ca="1" si="1"/>
        <v>0</v>
      </c>
      <c r="CC7" s="19">
        <f t="shared" ca="1" si="1"/>
        <v>0</v>
      </c>
      <c r="CD7" s="19">
        <f t="shared" ca="1" si="1"/>
        <v>0</v>
      </c>
      <c r="CE7" s="19">
        <f t="shared" ca="1" si="1"/>
        <v>0</v>
      </c>
      <c r="CF7" s="19">
        <f t="shared" ca="1" si="1"/>
        <v>0</v>
      </c>
      <c r="CG7" s="19">
        <f t="shared" ca="1" si="1"/>
        <v>0</v>
      </c>
      <c r="CH7" s="19">
        <f t="shared" ca="1" si="1"/>
        <v>0</v>
      </c>
      <c r="CI7" s="19">
        <f t="shared" ca="1" si="1"/>
        <v>0</v>
      </c>
      <c r="CJ7" s="19">
        <f t="shared" ca="1" si="1"/>
        <v>0</v>
      </c>
      <c r="CK7" s="19">
        <f t="shared" ca="1" si="1"/>
        <v>0</v>
      </c>
      <c r="CL7" s="19">
        <f t="shared" ca="1" si="1"/>
        <v>0</v>
      </c>
      <c r="CM7" s="19">
        <f t="shared" ca="1" si="1"/>
        <v>0</v>
      </c>
      <c r="CN7" s="19">
        <f t="shared" ca="1" si="1"/>
        <v>0</v>
      </c>
      <c r="CO7" s="19">
        <f t="shared" ca="1" si="1"/>
        <v>0</v>
      </c>
      <c r="CP7" s="19">
        <f t="shared" ca="1" si="1"/>
        <v>0</v>
      </c>
      <c r="CQ7" s="19">
        <f t="shared" ca="1" si="2"/>
        <v>0</v>
      </c>
      <c r="CR7" s="19">
        <f t="shared" ca="1" si="2"/>
        <v>0</v>
      </c>
      <c r="CS7" s="19">
        <f t="shared" ca="1" si="2"/>
        <v>0</v>
      </c>
      <c r="CT7" s="19">
        <f t="shared" ca="1" si="2"/>
        <v>0</v>
      </c>
      <c r="CU7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7" s="35"/>
      <c r="CW7" s="36">
        <f ca="1">SuiviExec[[#This Row],[CA Vendu initial (€)]]-SUM(SuiviExec[[#This Row],[CA &lt; 2021]:[CA &gt; 2023]])</f>
        <v>0</v>
      </c>
      <c r="CX7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7" s="37">
        <f t="shared" ca="1" si="3"/>
        <v>0</v>
      </c>
      <c r="CZ7" s="37">
        <f t="shared" ca="1" si="3"/>
        <v>0</v>
      </c>
      <c r="DA7" s="37">
        <f t="shared" ca="1" si="3"/>
        <v>0</v>
      </c>
      <c r="DB7" s="37">
        <f t="shared" ca="1" si="3"/>
        <v>0</v>
      </c>
      <c r="DC7" s="37">
        <f t="shared" ca="1" si="3"/>
        <v>0</v>
      </c>
      <c r="DD7" s="37">
        <f t="shared" ca="1" si="3"/>
        <v>0</v>
      </c>
      <c r="DE7" s="37">
        <f t="shared" ca="1" si="3"/>
        <v>0</v>
      </c>
      <c r="DF7" s="37">
        <f t="shared" ca="1" si="3"/>
        <v>0</v>
      </c>
      <c r="DG7" s="37">
        <f t="shared" ca="1" si="3"/>
        <v>0</v>
      </c>
      <c r="DH7" s="37">
        <f t="shared" ca="1" si="3"/>
        <v>0</v>
      </c>
      <c r="DI7" s="37">
        <f t="shared" ca="1" si="3"/>
        <v>0</v>
      </c>
      <c r="DJ7" s="37">
        <f t="shared" ca="1" si="3"/>
        <v>4450</v>
      </c>
      <c r="DK7" s="37">
        <f t="shared" ca="1" si="3"/>
        <v>0</v>
      </c>
      <c r="DL7" s="37">
        <f t="shared" ca="1" si="3"/>
        <v>0</v>
      </c>
      <c r="DM7" s="37">
        <f t="shared" ca="1" si="3"/>
        <v>0</v>
      </c>
      <c r="DN7" s="37">
        <f t="shared" ca="1" si="3"/>
        <v>0</v>
      </c>
      <c r="DO7" s="37">
        <f t="shared" ca="1" si="4"/>
        <v>0</v>
      </c>
      <c r="DP7" s="37">
        <f t="shared" ca="1" si="4"/>
        <v>0</v>
      </c>
      <c r="DQ7" s="37">
        <f t="shared" ca="1" si="4"/>
        <v>0</v>
      </c>
      <c r="DR7" s="37">
        <f t="shared" ca="1" si="4"/>
        <v>0</v>
      </c>
      <c r="DS7" s="37">
        <f t="shared" ca="1" si="4"/>
        <v>0</v>
      </c>
      <c r="DT7" s="37">
        <f t="shared" ca="1" si="4"/>
        <v>0</v>
      </c>
      <c r="DU7" s="37">
        <f t="shared" ca="1" si="4"/>
        <v>0</v>
      </c>
      <c r="DV7" s="37">
        <f t="shared" ca="1" si="4"/>
        <v>0</v>
      </c>
      <c r="DW7" s="37">
        <f t="shared" ca="1" si="4"/>
        <v>0</v>
      </c>
      <c r="DX7" s="37">
        <f t="shared" ca="1" si="4"/>
        <v>0</v>
      </c>
      <c r="DY7" s="37">
        <f t="shared" ca="1" si="4"/>
        <v>0</v>
      </c>
      <c r="DZ7" s="37">
        <f t="shared" ca="1" si="4"/>
        <v>0</v>
      </c>
      <c r="EA7" s="37">
        <f t="shared" ca="1" si="4"/>
        <v>0</v>
      </c>
      <c r="EB7" s="37">
        <f t="shared" ca="1" si="4"/>
        <v>0</v>
      </c>
      <c r="EC7" s="37">
        <f t="shared" ca="1" si="4"/>
        <v>0</v>
      </c>
      <c r="ED7" s="37">
        <f t="shared" ca="1" si="4"/>
        <v>0</v>
      </c>
      <c r="EE7" s="37">
        <f t="shared" ca="1" si="5"/>
        <v>0</v>
      </c>
      <c r="EF7" s="37">
        <f t="shared" ca="1" si="5"/>
        <v>0</v>
      </c>
      <c r="EG7" s="37">
        <f t="shared" ca="1" si="5"/>
        <v>0</v>
      </c>
      <c r="EH7" s="37">
        <f t="shared" ca="1" si="5"/>
        <v>0</v>
      </c>
      <c r="EI7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7" s="38">
        <f>IFERROR(SuiviExec[[#This Row],[PAT CA (€)]]/SuiviExec[[#This Row],[CA Vendu initial (€)]],0)</f>
        <v>1</v>
      </c>
      <c r="EK7" s="39"/>
      <c r="EL7" s="40" t="str">
        <f>IF(OR(ISBLANK(SuiviExec[[#This Row],[Budget MO (€)]]),ISBLANK(SuiviExec[[#This Row],[Budget Matériel (€)]]),ISBLANK(SuiviExec[[#This Row],[Budget ST (€)]])),"Budget non détaillé","")</f>
        <v/>
      </c>
    </row>
    <row r="8" spans="1:142" ht="15.75" x14ac:dyDescent="0.25">
      <c r="A8" s="14" t="s">
        <v>172</v>
      </c>
      <c r="B8" s="14" t="s">
        <v>173</v>
      </c>
      <c r="C8" s="14" t="s">
        <v>144</v>
      </c>
      <c r="D8" s="14" t="s">
        <v>174</v>
      </c>
      <c r="E8" s="14" t="s">
        <v>174</v>
      </c>
      <c r="F8" s="14" t="s">
        <v>146</v>
      </c>
      <c r="G8" s="15">
        <v>44348</v>
      </c>
      <c r="H8" s="16" t="s">
        <v>175</v>
      </c>
      <c r="I8" s="16" t="s">
        <v>176</v>
      </c>
      <c r="J8" s="17">
        <v>52410</v>
      </c>
      <c r="K8" s="17">
        <v>12750</v>
      </c>
      <c r="L8" s="18">
        <f>IFERROR(SuiviExec[[#This Row],[Marge Vendue Initiale (€)]]/SuiviExec[[#This Row],[CA Vendu initial (€)]],"")</f>
        <v>0.24327418431597023</v>
      </c>
      <c r="M8" s="17"/>
      <c r="N8" s="19">
        <v>40</v>
      </c>
      <c r="O8" s="20">
        <f>SuiviExec[[#This Row],[Budget MO Etude (€)]]+SuiviExec[[#This Row],[Budget MO Agent (heure)]]*Taux_Horaire_Agent</f>
        <v>1160</v>
      </c>
      <c r="P8" s="17">
        <v>34000</v>
      </c>
      <c r="Q8" s="17">
        <v>4500</v>
      </c>
      <c r="R8" s="21">
        <f>SUM(SuiviExec[[#This Row],[Budget MO (€)]:[Budget ST (€)]])</f>
        <v>39660</v>
      </c>
      <c r="S8" s="22">
        <v>44550</v>
      </c>
      <c r="T8" s="22">
        <v>44557</v>
      </c>
      <c r="U8" s="23"/>
      <c r="V8" s="24" cm="1">
        <f t="array" ref="V8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8" s="20">
        <f>IFERROR(SuiviExec[[#This Row],[Réalisé MO Etude (€)]]+SuiviExec[[#This Row],[Réalisé MO Agent (heure)]]*Taux_Horaire_Agent,0)</f>
        <v>0</v>
      </c>
      <c r="X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8" s="21">
        <f>SUM(SuiviExec[[#This Row],[Réalisé MO (€)]:[Réalisé ST (€)]])</f>
        <v>0</v>
      </c>
      <c r="AA8" s="26">
        <v>0</v>
      </c>
      <c r="AB8" s="41"/>
      <c r="AC8" s="41">
        <v>40</v>
      </c>
      <c r="AD8" s="20">
        <f>IFERROR(SuiviExec[[#This Row],[PAT MO Etude (€)]]+SuiviExec[[#This Row],[PAT MO Agent (heure)]]*Taux_Horaire_Agent,0)</f>
        <v>1160</v>
      </c>
      <c r="AE8" s="28">
        <f>SuiviExec[[#This Row],[Budget Matériel (€)]]</f>
        <v>34000</v>
      </c>
      <c r="AF8" s="28">
        <f>SuiviExec[[#This Row],[Budget ST (€)]]</f>
        <v>4500</v>
      </c>
      <c r="AG8" s="21">
        <f>SUM(SuiviExec[[#This Row],[PAT MO (€)]:[PAT ST (€)]])</f>
        <v>39660</v>
      </c>
      <c r="AH8" s="28">
        <v>52410</v>
      </c>
      <c r="AI8" s="21">
        <f>SuiviExec[[#This Row],[PAT CA (€)]]-SuiviExec[[#This Row],[PAT Coût Total (€)]]</f>
        <v>12750</v>
      </c>
      <c r="AJ8" s="18">
        <f>IFERROR(SuiviExec[[#This Row],[PAT Marge (€)]]/SuiviExec[[#This Row],[PAT CA (€)]],"Saisir le PAT")</f>
        <v>0.24327418431597023</v>
      </c>
      <c r="AK8" s="29"/>
      <c r="AL8" s="28"/>
      <c r="AM8" s="29"/>
      <c r="AN8" s="28"/>
      <c r="AO8" s="30">
        <f>SuiviExec[[#This Row],[CA Vendu initial (€)]]*SuiviExec[[#This Row],[Avancement physique du chantier (%)]]</f>
        <v>0</v>
      </c>
      <c r="AP8" s="23">
        <v>0</v>
      </c>
      <c r="AQ8" s="20">
        <f>IF(SuiviExec[[#This Row],[Avancement physique du chantier (%)]]=0,0,SuiviExec[[#This Row],[Situation méritée (CA Produit)]]-SuiviExec[[#This Row],[Montant Facturé (€)]])</f>
        <v>0</v>
      </c>
      <c r="AR8" s="23">
        <v>0</v>
      </c>
      <c r="AS8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8" s="23">
        <v>0</v>
      </c>
      <c r="AU8" s="20">
        <f>SuiviExec[[#This Row],[Situation méritée (CA Produit)]]-SuiviExec[[#This Row],[CA Année N-1 (2020)]]</f>
        <v>0</v>
      </c>
      <c r="AV8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8" s="20">
        <f ca="1">SUM(SuiviExec[[#This Row],[Janvier 2022 CA]:[CA &gt; 2023]])</f>
        <v>0</v>
      </c>
      <c r="AX8" s="20">
        <f>SuiviExec[[#This Row],[Situation méritée (CA Produit)]]-SuiviExec[[#This Row],[CA Année N-1 (2020)]]-SuiviExec[[#This Row],[CA 2021 - Réalisé]]</f>
        <v>0</v>
      </c>
      <c r="AY8" s="23">
        <f>SuiviExec[[#This Row],[Avancement physique du chantier (%)]]*SuiviExec[[#This Row],[Budget MO (€)]]</f>
        <v>0</v>
      </c>
      <c r="AZ8" s="23">
        <f>SuiviExec[[#This Row],[Avancement physique du chantier (%)]]*SuiviExec[[#This Row],[Budget Matériel (€)]]</f>
        <v>0</v>
      </c>
      <c r="BA8" s="23">
        <f>SuiviExec[[#This Row],[Budget ST (€)]]*SuiviExec[[#This Row],[Avancement physique du chantier (%)]]</f>
        <v>0</v>
      </c>
      <c r="BB8" s="20">
        <f>SUM(SuiviExec[[#This Row],[Charges 2021 MO (€)]:[Charges 2021 ST (€)]])</f>
        <v>0</v>
      </c>
      <c r="BC8" s="31">
        <v>0</v>
      </c>
      <c r="BD8" s="42">
        <f>SuiviExec[[#This Row],[CA 2021 - Réalisé]]-SuiviExec[[#This Row],[Charges 2021 à date]]</f>
        <v>0</v>
      </c>
      <c r="BE8" s="18" t="str">
        <f>IF(SuiviExec[[#This Row],[Avancement physique du chantier (%)]]&gt;0,IFERROR(SuiviExec[[#This Row],[Marge 2021 à date]]/SuiviExec[[#This Row],[CA 2021 - Réalisé]],""),"")</f>
        <v/>
      </c>
      <c r="BF8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8" s="29"/>
      <c r="BH8" s="33">
        <f>(SuiviExec[[#This Row],[Budget MO Etude (€)]]/Taux_Horaire_Etude+SuiviExec[[#This Row],[Budget MO Agent (heure)]])</f>
        <v>40</v>
      </c>
      <c r="BI8" s="34">
        <f ca="1">SuiviExec[[#This Row],[Estimation Budget MO (heures)]]-SUM(SuiviExec[[#This Row],[MO &lt; 2021]:[MO &gt; 2023]])</f>
        <v>0</v>
      </c>
      <c r="BJ8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8" s="19">
        <f t="shared" ca="1" si="0"/>
        <v>0</v>
      </c>
      <c r="BL8" s="19">
        <f t="shared" ca="1" si="0"/>
        <v>0</v>
      </c>
      <c r="BM8" s="19">
        <f t="shared" ca="1" si="0"/>
        <v>0</v>
      </c>
      <c r="BN8" s="19">
        <f t="shared" ca="1" si="0"/>
        <v>0</v>
      </c>
      <c r="BO8" s="19">
        <f t="shared" ca="1" si="0"/>
        <v>0</v>
      </c>
      <c r="BP8" s="19">
        <f t="shared" ca="1" si="0"/>
        <v>0</v>
      </c>
      <c r="BQ8" s="19">
        <f t="shared" ca="1" si="0"/>
        <v>0</v>
      </c>
      <c r="BR8" s="19">
        <f t="shared" ca="1" si="0"/>
        <v>0</v>
      </c>
      <c r="BS8" s="19">
        <f t="shared" ca="1" si="0"/>
        <v>0</v>
      </c>
      <c r="BT8" s="19">
        <f t="shared" ca="1" si="0"/>
        <v>0</v>
      </c>
      <c r="BU8" s="19">
        <f t="shared" ca="1" si="0"/>
        <v>0</v>
      </c>
      <c r="BV8" s="19">
        <f t="shared" ca="1" si="0"/>
        <v>40</v>
      </c>
      <c r="BW8" s="19">
        <f t="shared" ca="1" si="0"/>
        <v>0</v>
      </c>
      <c r="BX8" s="19">
        <f t="shared" ca="1" si="0"/>
        <v>0</v>
      </c>
      <c r="BY8" s="19">
        <f t="shared" ca="1" si="0"/>
        <v>0</v>
      </c>
      <c r="BZ8" s="19">
        <f t="shared" ca="1" si="0"/>
        <v>0</v>
      </c>
      <c r="CA8" s="19">
        <f t="shared" ca="1" si="1"/>
        <v>0</v>
      </c>
      <c r="CB8" s="19">
        <f t="shared" ca="1" si="1"/>
        <v>0</v>
      </c>
      <c r="CC8" s="19">
        <f t="shared" ca="1" si="1"/>
        <v>0</v>
      </c>
      <c r="CD8" s="19">
        <f t="shared" ca="1" si="1"/>
        <v>0</v>
      </c>
      <c r="CE8" s="19">
        <f t="shared" ca="1" si="1"/>
        <v>0</v>
      </c>
      <c r="CF8" s="19">
        <f t="shared" ca="1" si="1"/>
        <v>0</v>
      </c>
      <c r="CG8" s="19">
        <f t="shared" ca="1" si="1"/>
        <v>0</v>
      </c>
      <c r="CH8" s="19">
        <f t="shared" ca="1" si="1"/>
        <v>0</v>
      </c>
      <c r="CI8" s="19">
        <f t="shared" ca="1" si="1"/>
        <v>0</v>
      </c>
      <c r="CJ8" s="19">
        <f t="shared" ca="1" si="1"/>
        <v>0</v>
      </c>
      <c r="CK8" s="19">
        <f t="shared" ca="1" si="1"/>
        <v>0</v>
      </c>
      <c r="CL8" s="19">
        <f t="shared" ca="1" si="1"/>
        <v>0</v>
      </c>
      <c r="CM8" s="19">
        <f t="shared" ca="1" si="1"/>
        <v>0</v>
      </c>
      <c r="CN8" s="19">
        <f t="shared" ca="1" si="1"/>
        <v>0</v>
      </c>
      <c r="CO8" s="19">
        <f t="shared" ca="1" si="1"/>
        <v>0</v>
      </c>
      <c r="CP8" s="19">
        <f t="shared" ca="1" si="1"/>
        <v>0</v>
      </c>
      <c r="CQ8" s="19">
        <f t="shared" ca="1" si="2"/>
        <v>0</v>
      </c>
      <c r="CR8" s="19">
        <f t="shared" ca="1" si="2"/>
        <v>0</v>
      </c>
      <c r="CS8" s="19">
        <f t="shared" ca="1" si="2"/>
        <v>0</v>
      </c>
      <c r="CT8" s="19">
        <f t="shared" ca="1" si="2"/>
        <v>0</v>
      </c>
      <c r="CU8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8" s="35"/>
      <c r="CW8" s="36">
        <f ca="1">SuiviExec[[#This Row],[CA Vendu initial (€)]]-SUM(SuiviExec[[#This Row],[CA &lt; 2021]:[CA &gt; 2023]])</f>
        <v>0</v>
      </c>
      <c r="CX8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8" s="37">
        <f t="shared" ca="1" si="3"/>
        <v>0</v>
      </c>
      <c r="CZ8" s="37">
        <f t="shared" ca="1" si="3"/>
        <v>0</v>
      </c>
      <c r="DA8" s="37">
        <f t="shared" ca="1" si="3"/>
        <v>0</v>
      </c>
      <c r="DB8" s="37">
        <f t="shared" ca="1" si="3"/>
        <v>0</v>
      </c>
      <c r="DC8" s="37">
        <f t="shared" ca="1" si="3"/>
        <v>0</v>
      </c>
      <c r="DD8" s="37">
        <f t="shared" ca="1" si="3"/>
        <v>0</v>
      </c>
      <c r="DE8" s="37">
        <f t="shared" ca="1" si="3"/>
        <v>0</v>
      </c>
      <c r="DF8" s="37">
        <f t="shared" ca="1" si="3"/>
        <v>0</v>
      </c>
      <c r="DG8" s="37">
        <f t="shared" ca="1" si="3"/>
        <v>0</v>
      </c>
      <c r="DH8" s="37">
        <f t="shared" ca="1" si="3"/>
        <v>0</v>
      </c>
      <c r="DI8" s="37">
        <f t="shared" ca="1" si="3"/>
        <v>0</v>
      </c>
      <c r="DJ8" s="37">
        <f t="shared" ca="1" si="3"/>
        <v>52410</v>
      </c>
      <c r="DK8" s="37">
        <f t="shared" ca="1" si="3"/>
        <v>0</v>
      </c>
      <c r="DL8" s="37">
        <f t="shared" ca="1" si="3"/>
        <v>0</v>
      </c>
      <c r="DM8" s="37">
        <f t="shared" ca="1" si="3"/>
        <v>0</v>
      </c>
      <c r="DN8" s="37">
        <f t="shared" ca="1" si="3"/>
        <v>0</v>
      </c>
      <c r="DO8" s="37">
        <f t="shared" ca="1" si="4"/>
        <v>0</v>
      </c>
      <c r="DP8" s="37">
        <f t="shared" ca="1" si="4"/>
        <v>0</v>
      </c>
      <c r="DQ8" s="37">
        <f t="shared" ca="1" si="4"/>
        <v>0</v>
      </c>
      <c r="DR8" s="37">
        <f t="shared" ca="1" si="4"/>
        <v>0</v>
      </c>
      <c r="DS8" s="37">
        <f t="shared" ca="1" si="4"/>
        <v>0</v>
      </c>
      <c r="DT8" s="37">
        <f t="shared" ca="1" si="4"/>
        <v>0</v>
      </c>
      <c r="DU8" s="37">
        <f t="shared" ca="1" si="4"/>
        <v>0</v>
      </c>
      <c r="DV8" s="37">
        <f t="shared" ca="1" si="4"/>
        <v>0</v>
      </c>
      <c r="DW8" s="37">
        <f t="shared" ca="1" si="4"/>
        <v>0</v>
      </c>
      <c r="DX8" s="37">
        <f t="shared" ca="1" si="4"/>
        <v>0</v>
      </c>
      <c r="DY8" s="37">
        <f t="shared" ca="1" si="4"/>
        <v>0</v>
      </c>
      <c r="DZ8" s="37">
        <f t="shared" ca="1" si="4"/>
        <v>0</v>
      </c>
      <c r="EA8" s="37">
        <f t="shared" ca="1" si="4"/>
        <v>0</v>
      </c>
      <c r="EB8" s="37">
        <f t="shared" ca="1" si="4"/>
        <v>0</v>
      </c>
      <c r="EC8" s="37">
        <f t="shared" ca="1" si="4"/>
        <v>0</v>
      </c>
      <c r="ED8" s="37">
        <f t="shared" ca="1" si="4"/>
        <v>0</v>
      </c>
      <c r="EE8" s="37">
        <f t="shared" ca="1" si="5"/>
        <v>0</v>
      </c>
      <c r="EF8" s="37">
        <f t="shared" ca="1" si="5"/>
        <v>0</v>
      </c>
      <c r="EG8" s="37">
        <f t="shared" ca="1" si="5"/>
        <v>0</v>
      </c>
      <c r="EH8" s="37">
        <f t="shared" ca="1" si="5"/>
        <v>0</v>
      </c>
      <c r="EI8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8" s="38">
        <f>IFERROR(SuiviExec[[#This Row],[PAT CA (€)]]/SuiviExec[[#This Row],[CA Vendu initial (€)]],0)</f>
        <v>1</v>
      </c>
      <c r="EK8" s="39"/>
      <c r="EL8" s="40" t="str">
        <f>IF(OR(ISBLANK(SuiviExec[[#This Row],[Budget MO (€)]]),ISBLANK(SuiviExec[[#This Row],[Budget Matériel (€)]]),ISBLANK(SuiviExec[[#This Row],[Budget ST (€)]])),"Budget non détaillé","")</f>
        <v/>
      </c>
    </row>
    <row r="9" spans="1:142" ht="15.75" x14ac:dyDescent="0.25">
      <c r="A9" s="14" t="s">
        <v>177</v>
      </c>
      <c r="B9" s="14" t="s">
        <v>178</v>
      </c>
      <c r="C9" s="14" t="s">
        <v>144</v>
      </c>
      <c r="D9" s="14" t="s">
        <v>174</v>
      </c>
      <c r="E9" s="14" t="s">
        <v>174</v>
      </c>
      <c r="F9" s="14" t="s">
        <v>146</v>
      </c>
      <c r="G9" s="15">
        <v>44197</v>
      </c>
      <c r="H9" s="16" t="s">
        <v>179</v>
      </c>
      <c r="I9" s="16" t="s">
        <v>180</v>
      </c>
      <c r="J9" s="17">
        <v>9780</v>
      </c>
      <c r="K9" s="17">
        <v>2084</v>
      </c>
      <c r="L9" s="18">
        <f>IFERROR(SuiviExec[[#This Row],[Marge Vendue Initiale (€)]]/SuiviExec[[#This Row],[CA Vendu initial (€)]],"")</f>
        <v>0.21308793456032721</v>
      </c>
      <c r="M9" s="17"/>
      <c r="N9" s="19">
        <v>14</v>
      </c>
      <c r="O9" s="20">
        <f>SuiviExec[[#This Row],[Budget MO Etude (€)]]+SuiviExec[[#This Row],[Budget MO Agent (heure)]]*Taux_Horaire_Agent</f>
        <v>406</v>
      </c>
      <c r="P9" s="17">
        <v>7290</v>
      </c>
      <c r="Q9" s="17">
        <v>0</v>
      </c>
      <c r="R9" s="21">
        <f>SUM(SuiviExec[[#This Row],[Budget MO (€)]:[Budget ST (€)]])</f>
        <v>7696</v>
      </c>
      <c r="S9" s="22">
        <v>44524</v>
      </c>
      <c r="T9" s="22">
        <v>44531</v>
      </c>
      <c r="U9" s="23"/>
      <c r="V9" s="24" cm="1">
        <f t="array" ref="V9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9" s="20">
        <f>IFERROR(SuiviExec[[#This Row],[Réalisé MO Etude (€)]]+SuiviExec[[#This Row],[Réalisé MO Agent (heure)]]*Taux_Horaire_Agent,0)</f>
        <v>0</v>
      </c>
      <c r="X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9" s="21">
        <f>SUM(SuiviExec[[#This Row],[Réalisé MO (€)]:[Réalisé ST (€)]])</f>
        <v>0</v>
      </c>
      <c r="AA9" s="26">
        <v>0</v>
      </c>
      <c r="AB9" s="41"/>
      <c r="AC9" s="41">
        <v>14</v>
      </c>
      <c r="AD9" s="20">
        <f>IFERROR(SuiviExec[[#This Row],[PAT MO Etude (€)]]+SuiviExec[[#This Row],[PAT MO Agent (heure)]]*Taux_Horaire_Agent,0)</f>
        <v>406</v>
      </c>
      <c r="AE9" s="28">
        <f>SuiviExec[[#This Row],[Budget Matériel (€)]]</f>
        <v>7290</v>
      </c>
      <c r="AF9" s="28">
        <f>SuiviExec[[#This Row],[Budget ST (€)]]</f>
        <v>0</v>
      </c>
      <c r="AG9" s="21">
        <f>SUM(SuiviExec[[#This Row],[PAT MO (€)]:[PAT ST (€)]])</f>
        <v>7696</v>
      </c>
      <c r="AH9" s="28">
        <v>9780</v>
      </c>
      <c r="AI9" s="21">
        <f>SuiviExec[[#This Row],[PAT CA (€)]]-SuiviExec[[#This Row],[PAT Coût Total (€)]]</f>
        <v>2084</v>
      </c>
      <c r="AJ9" s="18">
        <f>IFERROR(SuiviExec[[#This Row],[PAT Marge (€)]]/SuiviExec[[#This Row],[PAT CA (€)]],"Saisir le PAT")</f>
        <v>0.21308793456032721</v>
      </c>
      <c r="AK9" s="29"/>
      <c r="AL9" s="28"/>
      <c r="AM9" s="29"/>
      <c r="AN9" s="28"/>
      <c r="AO9" s="30">
        <f>SuiviExec[[#This Row],[CA Vendu initial (€)]]*SuiviExec[[#This Row],[Avancement physique du chantier (%)]]</f>
        <v>0</v>
      </c>
      <c r="AP9" s="23">
        <v>0</v>
      </c>
      <c r="AQ9" s="20">
        <f>IF(SuiviExec[[#This Row],[Avancement physique du chantier (%)]]=0,0,SuiviExec[[#This Row],[Situation méritée (CA Produit)]]-SuiviExec[[#This Row],[Montant Facturé (€)]])</f>
        <v>0</v>
      </c>
      <c r="AR9" s="23">
        <v>0</v>
      </c>
      <c r="AS9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9" s="23">
        <v>0</v>
      </c>
      <c r="AU9" s="20">
        <f>SuiviExec[[#This Row],[Situation méritée (CA Produit)]]-SuiviExec[[#This Row],[CA Année N-1 (2020)]]</f>
        <v>0</v>
      </c>
      <c r="AV9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9" s="20">
        <f ca="1">SUM(SuiviExec[[#This Row],[Janvier 2022 CA]:[CA &gt; 2023]])</f>
        <v>0</v>
      </c>
      <c r="AX9" s="20">
        <f>SuiviExec[[#This Row],[Situation méritée (CA Produit)]]-SuiviExec[[#This Row],[CA Année N-1 (2020)]]-SuiviExec[[#This Row],[CA 2021 - Réalisé]]</f>
        <v>0</v>
      </c>
      <c r="AY9" s="23">
        <f>SuiviExec[[#This Row],[Avancement physique du chantier (%)]]*SuiviExec[[#This Row],[Budget MO (€)]]</f>
        <v>0</v>
      </c>
      <c r="AZ9" s="23">
        <f>SuiviExec[[#This Row],[Avancement physique du chantier (%)]]*SuiviExec[[#This Row],[Budget Matériel (€)]]</f>
        <v>0</v>
      </c>
      <c r="BA9" s="23">
        <f>SuiviExec[[#This Row],[Budget ST (€)]]*SuiviExec[[#This Row],[Avancement physique du chantier (%)]]</f>
        <v>0</v>
      </c>
      <c r="BB9" s="20">
        <f>SUM(SuiviExec[[#This Row],[Charges 2021 MO (€)]:[Charges 2021 ST (€)]])</f>
        <v>0</v>
      </c>
      <c r="BC9" s="31">
        <v>0</v>
      </c>
      <c r="BD9" s="42">
        <f>SuiviExec[[#This Row],[CA 2021 - Réalisé]]-SuiviExec[[#This Row],[Charges 2021 à date]]</f>
        <v>0</v>
      </c>
      <c r="BE9" s="18" t="str">
        <f>IF(SuiviExec[[#This Row],[Avancement physique du chantier (%)]]&gt;0,IFERROR(SuiviExec[[#This Row],[Marge 2021 à date]]/SuiviExec[[#This Row],[CA 2021 - Réalisé]],""),"")</f>
        <v/>
      </c>
      <c r="BF9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9" s="29"/>
      <c r="BH9" s="33">
        <f>(SuiviExec[[#This Row],[Budget MO Etude (€)]]/Taux_Horaire_Etude+SuiviExec[[#This Row],[Budget MO Agent (heure)]])</f>
        <v>14</v>
      </c>
      <c r="BI9" s="34">
        <f ca="1">SuiviExec[[#This Row],[Estimation Budget MO (heures)]]-SUM(SuiviExec[[#This Row],[MO &lt; 2021]:[MO &gt; 2023]])</f>
        <v>0</v>
      </c>
      <c r="BJ9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9" s="19">
        <f t="shared" ca="1" si="0"/>
        <v>0</v>
      </c>
      <c r="BL9" s="19">
        <f t="shared" ca="1" si="0"/>
        <v>0</v>
      </c>
      <c r="BM9" s="19">
        <f t="shared" ca="1" si="0"/>
        <v>0</v>
      </c>
      <c r="BN9" s="19">
        <f t="shared" ca="1" si="0"/>
        <v>0</v>
      </c>
      <c r="BO9" s="19">
        <f t="shared" ca="1" si="0"/>
        <v>0</v>
      </c>
      <c r="BP9" s="19">
        <f t="shared" ca="1" si="0"/>
        <v>0</v>
      </c>
      <c r="BQ9" s="19">
        <f t="shared" ca="1" si="0"/>
        <v>0</v>
      </c>
      <c r="BR9" s="19">
        <f t="shared" ca="1" si="0"/>
        <v>0</v>
      </c>
      <c r="BS9" s="19">
        <f t="shared" ca="1" si="0"/>
        <v>0</v>
      </c>
      <c r="BT9" s="19">
        <f t="shared" ca="1" si="0"/>
        <v>0</v>
      </c>
      <c r="BU9" s="19">
        <f t="shared" ca="1" si="0"/>
        <v>7</v>
      </c>
      <c r="BV9" s="19">
        <f t="shared" ca="1" si="0"/>
        <v>7</v>
      </c>
      <c r="BW9" s="19">
        <f t="shared" ca="1" si="0"/>
        <v>0</v>
      </c>
      <c r="BX9" s="19">
        <f t="shared" ca="1" si="0"/>
        <v>0</v>
      </c>
      <c r="BY9" s="19">
        <f t="shared" ca="1" si="0"/>
        <v>0</v>
      </c>
      <c r="BZ9" s="19">
        <f t="shared" ca="1" si="0"/>
        <v>0</v>
      </c>
      <c r="CA9" s="19">
        <f t="shared" ca="1" si="1"/>
        <v>0</v>
      </c>
      <c r="CB9" s="19">
        <f t="shared" ca="1" si="1"/>
        <v>0</v>
      </c>
      <c r="CC9" s="19">
        <f t="shared" ca="1" si="1"/>
        <v>0</v>
      </c>
      <c r="CD9" s="19">
        <f t="shared" ca="1" si="1"/>
        <v>0</v>
      </c>
      <c r="CE9" s="19">
        <f t="shared" ca="1" si="1"/>
        <v>0</v>
      </c>
      <c r="CF9" s="19">
        <f t="shared" ca="1" si="1"/>
        <v>0</v>
      </c>
      <c r="CG9" s="19">
        <f t="shared" ca="1" si="1"/>
        <v>0</v>
      </c>
      <c r="CH9" s="19">
        <f t="shared" ca="1" si="1"/>
        <v>0</v>
      </c>
      <c r="CI9" s="19">
        <f t="shared" ca="1" si="1"/>
        <v>0</v>
      </c>
      <c r="CJ9" s="19">
        <f t="shared" ca="1" si="1"/>
        <v>0</v>
      </c>
      <c r="CK9" s="19">
        <f t="shared" ca="1" si="1"/>
        <v>0</v>
      </c>
      <c r="CL9" s="19">
        <f t="shared" ca="1" si="1"/>
        <v>0</v>
      </c>
      <c r="CM9" s="19">
        <f t="shared" ca="1" si="1"/>
        <v>0</v>
      </c>
      <c r="CN9" s="19">
        <f t="shared" ca="1" si="1"/>
        <v>0</v>
      </c>
      <c r="CO9" s="19">
        <f t="shared" ca="1" si="1"/>
        <v>0</v>
      </c>
      <c r="CP9" s="19">
        <f t="shared" ca="1" si="1"/>
        <v>0</v>
      </c>
      <c r="CQ9" s="19">
        <f t="shared" ca="1" si="2"/>
        <v>0</v>
      </c>
      <c r="CR9" s="19">
        <f t="shared" ca="1" si="2"/>
        <v>0</v>
      </c>
      <c r="CS9" s="19">
        <f t="shared" ca="1" si="2"/>
        <v>0</v>
      </c>
      <c r="CT9" s="19">
        <f t="shared" ca="1" si="2"/>
        <v>0</v>
      </c>
      <c r="CU9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9" s="35"/>
      <c r="CW9" s="36">
        <f ca="1">SuiviExec[[#This Row],[CA Vendu initial (€)]]-SUM(SuiviExec[[#This Row],[CA &lt; 2021]:[CA &gt; 2023]])</f>
        <v>0</v>
      </c>
      <c r="CX9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9" s="37">
        <f t="shared" ca="1" si="3"/>
        <v>0</v>
      </c>
      <c r="CZ9" s="37">
        <f t="shared" ca="1" si="3"/>
        <v>0</v>
      </c>
      <c r="DA9" s="37">
        <f t="shared" ca="1" si="3"/>
        <v>0</v>
      </c>
      <c r="DB9" s="37">
        <f t="shared" ca="1" si="3"/>
        <v>0</v>
      </c>
      <c r="DC9" s="37">
        <f t="shared" ca="1" si="3"/>
        <v>0</v>
      </c>
      <c r="DD9" s="37">
        <f t="shared" ca="1" si="3"/>
        <v>0</v>
      </c>
      <c r="DE9" s="37">
        <f t="shared" ca="1" si="3"/>
        <v>0</v>
      </c>
      <c r="DF9" s="37">
        <f t="shared" ca="1" si="3"/>
        <v>0</v>
      </c>
      <c r="DG9" s="37">
        <f t="shared" ca="1" si="3"/>
        <v>0</v>
      </c>
      <c r="DH9" s="37">
        <f t="shared" ca="1" si="3"/>
        <v>0</v>
      </c>
      <c r="DI9" s="37">
        <f t="shared" ca="1" si="3"/>
        <v>4890</v>
      </c>
      <c r="DJ9" s="37">
        <f t="shared" ca="1" si="3"/>
        <v>4890</v>
      </c>
      <c r="DK9" s="37">
        <f t="shared" ca="1" si="3"/>
        <v>0</v>
      </c>
      <c r="DL9" s="37">
        <f t="shared" ca="1" si="3"/>
        <v>0</v>
      </c>
      <c r="DM9" s="37">
        <f t="shared" ca="1" si="3"/>
        <v>0</v>
      </c>
      <c r="DN9" s="37">
        <f t="shared" ca="1" si="3"/>
        <v>0</v>
      </c>
      <c r="DO9" s="37">
        <f t="shared" ca="1" si="4"/>
        <v>0</v>
      </c>
      <c r="DP9" s="37">
        <f t="shared" ca="1" si="4"/>
        <v>0</v>
      </c>
      <c r="DQ9" s="37">
        <f t="shared" ca="1" si="4"/>
        <v>0</v>
      </c>
      <c r="DR9" s="37">
        <f t="shared" ca="1" si="4"/>
        <v>0</v>
      </c>
      <c r="DS9" s="37">
        <f t="shared" ca="1" si="4"/>
        <v>0</v>
      </c>
      <c r="DT9" s="37">
        <f t="shared" ca="1" si="4"/>
        <v>0</v>
      </c>
      <c r="DU9" s="37">
        <f t="shared" ca="1" si="4"/>
        <v>0</v>
      </c>
      <c r="DV9" s="37">
        <f t="shared" ca="1" si="4"/>
        <v>0</v>
      </c>
      <c r="DW9" s="37">
        <f t="shared" ca="1" si="4"/>
        <v>0</v>
      </c>
      <c r="DX9" s="37">
        <f t="shared" ca="1" si="4"/>
        <v>0</v>
      </c>
      <c r="DY9" s="37">
        <f t="shared" ca="1" si="4"/>
        <v>0</v>
      </c>
      <c r="DZ9" s="37">
        <f t="shared" ca="1" si="4"/>
        <v>0</v>
      </c>
      <c r="EA9" s="37">
        <f t="shared" ca="1" si="4"/>
        <v>0</v>
      </c>
      <c r="EB9" s="37">
        <f t="shared" ca="1" si="4"/>
        <v>0</v>
      </c>
      <c r="EC9" s="37">
        <f t="shared" ca="1" si="4"/>
        <v>0</v>
      </c>
      <c r="ED9" s="37">
        <f t="shared" ca="1" si="4"/>
        <v>0</v>
      </c>
      <c r="EE9" s="37">
        <f t="shared" ca="1" si="5"/>
        <v>0</v>
      </c>
      <c r="EF9" s="37">
        <f t="shared" ca="1" si="5"/>
        <v>0</v>
      </c>
      <c r="EG9" s="37">
        <f t="shared" ca="1" si="5"/>
        <v>0</v>
      </c>
      <c r="EH9" s="37">
        <f t="shared" ca="1" si="5"/>
        <v>0</v>
      </c>
      <c r="EI9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9" s="38">
        <f>IFERROR(SuiviExec[[#This Row],[PAT CA (€)]]/SuiviExec[[#This Row],[CA Vendu initial (€)]],0)</f>
        <v>1</v>
      </c>
      <c r="EK9" s="39"/>
      <c r="EL9" s="40" t="str">
        <f>IF(OR(ISBLANK(SuiviExec[[#This Row],[Budget MO (€)]]),ISBLANK(SuiviExec[[#This Row],[Budget Matériel (€)]]),ISBLANK(SuiviExec[[#This Row],[Budget ST (€)]])),"Budget non détaillé","")</f>
        <v/>
      </c>
    </row>
    <row r="10" spans="1:142" ht="15.75" x14ac:dyDescent="0.25">
      <c r="A10" s="14" t="s">
        <v>181</v>
      </c>
      <c r="B10" s="14" t="s">
        <v>169</v>
      </c>
      <c r="C10" s="14" t="s">
        <v>144</v>
      </c>
      <c r="D10" s="14" t="s">
        <v>182</v>
      </c>
      <c r="E10" s="14" t="s">
        <v>182</v>
      </c>
      <c r="F10" s="14" t="s">
        <v>146</v>
      </c>
      <c r="G10" s="15">
        <v>44197</v>
      </c>
      <c r="H10" s="16" t="s">
        <v>183</v>
      </c>
      <c r="I10" s="16" t="s">
        <v>184</v>
      </c>
      <c r="J10" s="17">
        <v>5460</v>
      </c>
      <c r="K10" s="17">
        <v>1572</v>
      </c>
      <c r="L10" s="18">
        <f>IFERROR(SuiviExec[[#This Row],[Marge Vendue Initiale (€)]]/SuiviExec[[#This Row],[CA Vendu initial (€)]],"")</f>
        <v>0.28791208791208789</v>
      </c>
      <c r="M10" s="17"/>
      <c r="N10" s="19">
        <v>30</v>
      </c>
      <c r="O10" s="20">
        <f>SuiviExec[[#This Row],[Budget MO Etude (€)]]+SuiviExec[[#This Row],[Budget MO Agent (heure)]]*Taux_Horaire_Agent</f>
        <v>870</v>
      </c>
      <c r="P10" s="17">
        <v>3018</v>
      </c>
      <c r="Q10" s="17">
        <v>0</v>
      </c>
      <c r="R10" s="21">
        <f>SUM(SuiviExec[[#This Row],[Budget MO (€)]:[Budget ST (€)]])</f>
        <v>3888</v>
      </c>
      <c r="S10" s="22">
        <v>44522</v>
      </c>
      <c r="T10" s="22">
        <v>44529</v>
      </c>
      <c r="U10" s="23"/>
      <c r="V10" s="24" cm="1">
        <f t="array" ref="V10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0" s="20">
        <f>IFERROR(SuiviExec[[#This Row],[Réalisé MO Etude (€)]]+SuiviExec[[#This Row],[Réalisé MO Agent (heure)]]*Taux_Horaire_Agent,0)</f>
        <v>0</v>
      </c>
      <c r="X1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0" s="21">
        <f>SUM(SuiviExec[[#This Row],[Réalisé MO (€)]:[Réalisé ST (€)]])</f>
        <v>0</v>
      </c>
      <c r="AA10" s="26">
        <v>0</v>
      </c>
      <c r="AB10" s="41"/>
      <c r="AC10" s="41">
        <v>30</v>
      </c>
      <c r="AD10" s="20">
        <f>IFERROR(SuiviExec[[#This Row],[PAT MO Etude (€)]]+SuiviExec[[#This Row],[PAT MO Agent (heure)]]*Taux_Horaire_Agent,0)</f>
        <v>870</v>
      </c>
      <c r="AE10" s="28">
        <f>SuiviExec[[#This Row],[Budget Matériel (€)]]</f>
        <v>3018</v>
      </c>
      <c r="AF10" s="28">
        <f>SuiviExec[[#This Row],[Budget ST (€)]]</f>
        <v>0</v>
      </c>
      <c r="AG10" s="21">
        <f>SUM(SuiviExec[[#This Row],[PAT MO (€)]:[PAT ST (€)]])</f>
        <v>3888</v>
      </c>
      <c r="AH10" s="28">
        <v>5460</v>
      </c>
      <c r="AI10" s="21">
        <f>SuiviExec[[#This Row],[PAT CA (€)]]-SuiviExec[[#This Row],[PAT Coût Total (€)]]</f>
        <v>1572</v>
      </c>
      <c r="AJ10" s="18">
        <f>IFERROR(SuiviExec[[#This Row],[PAT Marge (€)]]/SuiviExec[[#This Row],[PAT CA (€)]],"Saisir le PAT")</f>
        <v>0.28791208791208789</v>
      </c>
      <c r="AK10" s="29"/>
      <c r="AL10" s="28"/>
      <c r="AM10" s="29"/>
      <c r="AN10" s="28"/>
      <c r="AO10" s="30">
        <f>SuiviExec[[#This Row],[CA Vendu initial (€)]]*SuiviExec[[#This Row],[Avancement physique du chantier (%)]]</f>
        <v>0</v>
      </c>
      <c r="AP10" s="23">
        <v>0</v>
      </c>
      <c r="AQ10" s="20">
        <f>IF(SuiviExec[[#This Row],[Avancement physique du chantier (%)]]=0,0,SuiviExec[[#This Row],[Situation méritée (CA Produit)]]-SuiviExec[[#This Row],[Montant Facturé (€)]])</f>
        <v>0</v>
      </c>
      <c r="AR10" s="23">
        <v>0</v>
      </c>
      <c r="AS10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0" s="23">
        <v>0</v>
      </c>
      <c r="AU10" s="20">
        <f>SuiviExec[[#This Row],[Situation méritée (CA Produit)]]-SuiviExec[[#This Row],[CA Année N-1 (2020)]]</f>
        <v>0</v>
      </c>
      <c r="AV10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0" s="20">
        <f ca="1">SUM(SuiviExec[[#This Row],[Janvier 2022 CA]:[CA &gt; 2023]])</f>
        <v>0</v>
      </c>
      <c r="AX10" s="20">
        <f>SuiviExec[[#This Row],[Situation méritée (CA Produit)]]-SuiviExec[[#This Row],[CA Année N-1 (2020)]]-SuiviExec[[#This Row],[CA 2021 - Réalisé]]</f>
        <v>0</v>
      </c>
      <c r="AY10" s="23">
        <f>SuiviExec[[#This Row],[Avancement physique du chantier (%)]]*SuiviExec[[#This Row],[Budget MO (€)]]</f>
        <v>0</v>
      </c>
      <c r="AZ10" s="23">
        <f>SuiviExec[[#This Row],[Avancement physique du chantier (%)]]*SuiviExec[[#This Row],[Budget Matériel (€)]]</f>
        <v>0</v>
      </c>
      <c r="BA10" s="23">
        <f>SuiviExec[[#This Row],[Budget ST (€)]]*SuiviExec[[#This Row],[Avancement physique du chantier (%)]]</f>
        <v>0</v>
      </c>
      <c r="BB10" s="20">
        <f>SUM(SuiviExec[[#This Row],[Charges 2021 MO (€)]:[Charges 2021 ST (€)]])</f>
        <v>0</v>
      </c>
      <c r="BC10" s="31">
        <v>0</v>
      </c>
      <c r="BD10" s="42">
        <f>SuiviExec[[#This Row],[CA 2021 - Réalisé]]-SuiviExec[[#This Row],[Charges 2021 à date]]</f>
        <v>0</v>
      </c>
      <c r="BE10" s="18" t="str">
        <f>IF(SuiviExec[[#This Row],[Avancement physique du chantier (%)]]&gt;0,IFERROR(SuiviExec[[#This Row],[Marge 2021 à date]]/SuiviExec[[#This Row],[CA 2021 - Réalisé]],""),"")</f>
        <v/>
      </c>
      <c r="BF10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0" s="29"/>
      <c r="BH10" s="33">
        <f>(SuiviExec[[#This Row],[Budget MO Etude (€)]]/Taux_Horaire_Etude+SuiviExec[[#This Row],[Budget MO Agent (heure)]])</f>
        <v>30</v>
      </c>
      <c r="BI10" s="34">
        <f ca="1">SuiviExec[[#This Row],[Estimation Budget MO (heures)]]-SUM(SuiviExec[[#This Row],[MO &lt; 2021]:[MO &gt; 2023]])</f>
        <v>0</v>
      </c>
      <c r="BJ10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0" s="19">
        <f t="shared" ca="1" si="0"/>
        <v>0</v>
      </c>
      <c r="BL10" s="19">
        <f t="shared" ca="1" si="0"/>
        <v>0</v>
      </c>
      <c r="BM10" s="19">
        <f t="shared" ca="1" si="0"/>
        <v>0</v>
      </c>
      <c r="BN10" s="19">
        <f t="shared" ca="1" si="0"/>
        <v>0</v>
      </c>
      <c r="BO10" s="19">
        <f t="shared" ca="1" si="0"/>
        <v>0</v>
      </c>
      <c r="BP10" s="19">
        <f t="shared" ca="1" si="0"/>
        <v>0</v>
      </c>
      <c r="BQ10" s="19">
        <f t="shared" ca="1" si="0"/>
        <v>0</v>
      </c>
      <c r="BR10" s="19">
        <f t="shared" ca="1" si="0"/>
        <v>0</v>
      </c>
      <c r="BS10" s="19">
        <f t="shared" ca="1" si="0"/>
        <v>0</v>
      </c>
      <c r="BT10" s="19">
        <f t="shared" ca="1" si="0"/>
        <v>0</v>
      </c>
      <c r="BU10" s="19">
        <f t="shared" ca="1" si="0"/>
        <v>30</v>
      </c>
      <c r="BV10" s="19">
        <f t="shared" ca="1" si="0"/>
        <v>0</v>
      </c>
      <c r="BW10" s="19">
        <f t="shared" ca="1" si="0"/>
        <v>0</v>
      </c>
      <c r="BX10" s="19">
        <f t="shared" ca="1" si="0"/>
        <v>0</v>
      </c>
      <c r="BY10" s="19">
        <f t="shared" ca="1" si="0"/>
        <v>0</v>
      </c>
      <c r="BZ10" s="19">
        <f t="shared" ca="1" si="0"/>
        <v>0</v>
      </c>
      <c r="CA10" s="19">
        <f t="shared" ca="1" si="1"/>
        <v>0</v>
      </c>
      <c r="CB10" s="19">
        <f t="shared" ca="1" si="1"/>
        <v>0</v>
      </c>
      <c r="CC10" s="19">
        <f t="shared" ca="1" si="1"/>
        <v>0</v>
      </c>
      <c r="CD10" s="19">
        <f t="shared" ca="1" si="1"/>
        <v>0</v>
      </c>
      <c r="CE10" s="19">
        <f t="shared" ca="1" si="1"/>
        <v>0</v>
      </c>
      <c r="CF10" s="19">
        <f t="shared" ca="1" si="1"/>
        <v>0</v>
      </c>
      <c r="CG10" s="19">
        <f t="shared" ca="1" si="1"/>
        <v>0</v>
      </c>
      <c r="CH10" s="19">
        <f t="shared" ca="1" si="1"/>
        <v>0</v>
      </c>
      <c r="CI10" s="19">
        <f t="shared" ca="1" si="1"/>
        <v>0</v>
      </c>
      <c r="CJ10" s="19">
        <f t="shared" ca="1" si="1"/>
        <v>0</v>
      </c>
      <c r="CK10" s="19">
        <f t="shared" ca="1" si="1"/>
        <v>0</v>
      </c>
      <c r="CL10" s="19">
        <f t="shared" ca="1" si="1"/>
        <v>0</v>
      </c>
      <c r="CM10" s="19">
        <f t="shared" ca="1" si="1"/>
        <v>0</v>
      </c>
      <c r="CN10" s="19">
        <f t="shared" ca="1" si="1"/>
        <v>0</v>
      </c>
      <c r="CO10" s="19">
        <f t="shared" ca="1" si="1"/>
        <v>0</v>
      </c>
      <c r="CP10" s="19">
        <f t="shared" ca="1" si="1"/>
        <v>0</v>
      </c>
      <c r="CQ10" s="19">
        <f t="shared" ca="1" si="2"/>
        <v>0</v>
      </c>
      <c r="CR10" s="19">
        <f t="shared" ca="1" si="2"/>
        <v>0</v>
      </c>
      <c r="CS10" s="19">
        <f t="shared" ca="1" si="2"/>
        <v>0</v>
      </c>
      <c r="CT10" s="19">
        <f t="shared" ca="1" si="2"/>
        <v>0</v>
      </c>
      <c r="CU10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0" s="35"/>
      <c r="CW10" s="36">
        <f ca="1">SuiviExec[[#This Row],[CA Vendu initial (€)]]-SUM(SuiviExec[[#This Row],[CA &lt; 2021]:[CA &gt; 2023]])</f>
        <v>0</v>
      </c>
      <c r="CX10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0" s="37">
        <f t="shared" ca="1" si="3"/>
        <v>0</v>
      </c>
      <c r="CZ10" s="37">
        <f t="shared" ca="1" si="3"/>
        <v>0</v>
      </c>
      <c r="DA10" s="37">
        <f t="shared" ca="1" si="3"/>
        <v>0</v>
      </c>
      <c r="DB10" s="37">
        <f t="shared" ca="1" si="3"/>
        <v>0</v>
      </c>
      <c r="DC10" s="37">
        <f t="shared" ca="1" si="3"/>
        <v>0</v>
      </c>
      <c r="DD10" s="37">
        <f t="shared" ca="1" si="3"/>
        <v>0</v>
      </c>
      <c r="DE10" s="37">
        <f t="shared" ca="1" si="3"/>
        <v>0</v>
      </c>
      <c r="DF10" s="37">
        <f t="shared" ca="1" si="3"/>
        <v>0</v>
      </c>
      <c r="DG10" s="37">
        <f t="shared" ca="1" si="3"/>
        <v>0</v>
      </c>
      <c r="DH10" s="37">
        <f t="shared" ca="1" si="3"/>
        <v>0</v>
      </c>
      <c r="DI10" s="37">
        <f t="shared" ca="1" si="3"/>
        <v>5460</v>
      </c>
      <c r="DJ10" s="37">
        <f t="shared" ca="1" si="3"/>
        <v>0</v>
      </c>
      <c r="DK10" s="37">
        <f t="shared" ca="1" si="3"/>
        <v>0</v>
      </c>
      <c r="DL10" s="37">
        <f t="shared" ca="1" si="3"/>
        <v>0</v>
      </c>
      <c r="DM10" s="37">
        <f t="shared" ca="1" si="3"/>
        <v>0</v>
      </c>
      <c r="DN10" s="37">
        <f t="shared" ca="1" si="3"/>
        <v>0</v>
      </c>
      <c r="DO10" s="37">
        <f t="shared" ca="1" si="4"/>
        <v>0</v>
      </c>
      <c r="DP10" s="37">
        <f t="shared" ca="1" si="4"/>
        <v>0</v>
      </c>
      <c r="DQ10" s="37">
        <f t="shared" ca="1" si="4"/>
        <v>0</v>
      </c>
      <c r="DR10" s="37">
        <f t="shared" ca="1" si="4"/>
        <v>0</v>
      </c>
      <c r="DS10" s="37">
        <f t="shared" ca="1" si="4"/>
        <v>0</v>
      </c>
      <c r="DT10" s="37">
        <f t="shared" ca="1" si="4"/>
        <v>0</v>
      </c>
      <c r="DU10" s="37">
        <f t="shared" ca="1" si="4"/>
        <v>0</v>
      </c>
      <c r="DV10" s="37">
        <f t="shared" ca="1" si="4"/>
        <v>0</v>
      </c>
      <c r="DW10" s="37">
        <f t="shared" ca="1" si="4"/>
        <v>0</v>
      </c>
      <c r="DX10" s="37">
        <f t="shared" ca="1" si="4"/>
        <v>0</v>
      </c>
      <c r="DY10" s="37">
        <f t="shared" ca="1" si="4"/>
        <v>0</v>
      </c>
      <c r="DZ10" s="37">
        <f t="shared" ca="1" si="4"/>
        <v>0</v>
      </c>
      <c r="EA10" s="37">
        <f t="shared" ca="1" si="4"/>
        <v>0</v>
      </c>
      <c r="EB10" s="37">
        <f t="shared" ca="1" si="4"/>
        <v>0</v>
      </c>
      <c r="EC10" s="37">
        <f t="shared" ca="1" si="4"/>
        <v>0</v>
      </c>
      <c r="ED10" s="37">
        <f t="shared" ca="1" si="4"/>
        <v>0</v>
      </c>
      <c r="EE10" s="37">
        <f t="shared" ca="1" si="5"/>
        <v>0</v>
      </c>
      <c r="EF10" s="37">
        <f t="shared" ca="1" si="5"/>
        <v>0</v>
      </c>
      <c r="EG10" s="37">
        <f t="shared" ca="1" si="5"/>
        <v>0</v>
      </c>
      <c r="EH10" s="37">
        <f t="shared" ca="1" si="5"/>
        <v>0</v>
      </c>
      <c r="EI10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0" s="38">
        <f>IFERROR(SuiviExec[[#This Row],[PAT CA (€)]]/SuiviExec[[#This Row],[CA Vendu initial (€)]],0)</f>
        <v>1</v>
      </c>
      <c r="EK10" s="39"/>
      <c r="EL10" s="40" t="str">
        <f>IF(OR(ISBLANK(SuiviExec[[#This Row],[Budget MO (€)]]),ISBLANK(SuiviExec[[#This Row],[Budget Matériel (€)]]),ISBLANK(SuiviExec[[#This Row],[Budget ST (€)]])),"Budget non détaillé","")</f>
        <v/>
      </c>
    </row>
    <row r="11" spans="1:142" ht="15.75" x14ac:dyDescent="0.25">
      <c r="A11" s="14" t="s">
        <v>185</v>
      </c>
      <c r="B11" s="14" t="s">
        <v>165</v>
      </c>
      <c r="C11" s="14" t="s">
        <v>144</v>
      </c>
      <c r="D11" s="14" t="s">
        <v>174</v>
      </c>
      <c r="E11" s="14" t="s">
        <v>174</v>
      </c>
      <c r="F11" s="14" t="s">
        <v>146</v>
      </c>
      <c r="G11" s="15">
        <v>44197</v>
      </c>
      <c r="H11" s="16" t="s">
        <v>186</v>
      </c>
      <c r="I11" s="16" t="s">
        <v>187</v>
      </c>
      <c r="J11" s="17">
        <v>7641</v>
      </c>
      <c r="K11" s="17">
        <v>2205.3111111111111</v>
      </c>
      <c r="L11" s="18">
        <f>IFERROR(SuiviExec[[#This Row],[Marge Vendue Initiale (€)]]/SuiviExec[[#This Row],[CA Vendu initial (€)]],"")</f>
        <v>0.2886155098954471</v>
      </c>
      <c r="M11" s="17"/>
      <c r="N11" s="19">
        <v>44.644444444444446</v>
      </c>
      <c r="O11" s="20">
        <f>SuiviExec[[#This Row],[Budget MO Etude (€)]]+SuiviExec[[#This Row],[Budget MO Agent (heure)]]*Taux_Horaire_Agent</f>
        <v>1294.6888888888889</v>
      </c>
      <c r="P11" s="17">
        <v>2500</v>
      </c>
      <c r="Q11" s="17">
        <v>1641</v>
      </c>
      <c r="R11" s="21">
        <f>SUM(SuiviExec[[#This Row],[Budget MO (€)]:[Budget ST (€)]])</f>
        <v>5435.6888888888889</v>
      </c>
      <c r="S11" s="22">
        <v>44538</v>
      </c>
      <c r="T11" s="22">
        <v>44545</v>
      </c>
      <c r="U11" s="23"/>
      <c r="V11" s="24" cm="1">
        <f t="array" ref="V1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1" s="20">
        <f>IFERROR(SuiviExec[[#This Row],[Réalisé MO Etude (€)]]+SuiviExec[[#This Row],[Réalisé MO Agent (heure)]]*Taux_Horaire_Agent,0)</f>
        <v>0</v>
      </c>
      <c r="X1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1" s="21">
        <f>SUM(SuiviExec[[#This Row],[Réalisé MO (€)]:[Réalisé ST (€)]])</f>
        <v>0</v>
      </c>
      <c r="AA11" s="26">
        <v>0</v>
      </c>
      <c r="AB11" s="41"/>
      <c r="AC11" s="41">
        <v>44.644444444444446</v>
      </c>
      <c r="AD11" s="20">
        <f>IFERROR(SuiviExec[[#This Row],[PAT MO Etude (€)]]+SuiviExec[[#This Row],[PAT MO Agent (heure)]]*Taux_Horaire_Agent,0)</f>
        <v>1294.6888888888889</v>
      </c>
      <c r="AE11" s="28">
        <f>SuiviExec[[#This Row],[Budget Matériel (€)]]</f>
        <v>2500</v>
      </c>
      <c r="AF11" s="28">
        <f>SuiviExec[[#This Row],[Budget ST (€)]]</f>
        <v>1641</v>
      </c>
      <c r="AG11" s="21">
        <f>SUM(SuiviExec[[#This Row],[PAT MO (€)]:[PAT ST (€)]])</f>
        <v>5435.6888888888889</v>
      </c>
      <c r="AH11" s="28">
        <v>7641</v>
      </c>
      <c r="AI11" s="21">
        <f>SuiviExec[[#This Row],[PAT CA (€)]]-SuiviExec[[#This Row],[PAT Coût Total (€)]]</f>
        <v>2205.3111111111111</v>
      </c>
      <c r="AJ11" s="18">
        <f>IFERROR(SuiviExec[[#This Row],[PAT Marge (€)]]/SuiviExec[[#This Row],[PAT CA (€)]],"Saisir le PAT")</f>
        <v>0.2886155098954471</v>
      </c>
      <c r="AK11" s="29"/>
      <c r="AL11" s="28"/>
      <c r="AM11" s="29"/>
      <c r="AN11" s="28"/>
      <c r="AO11" s="30">
        <f>SuiviExec[[#This Row],[CA Vendu initial (€)]]*SuiviExec[[#This Row],[Avancement physique du chantier (%)]]</f>
        <v>0</v>
      </c>
      <c r="AP11" s="23">
        <v>0</v>
      </c>
      <c r="AQ11" s="20">
        <f>IF(SuiviExec[[#This Row],[Avancement physique du chantier (%)]]=0,0,SuiviExec[[#This Row],[Situation méritée (CA Produit)]]-SuiviExec[[#This Row],[Montant Facturé (€)]])</f>
        <v>0</v>
      </c>
      <c r="AR11" s="23">
        <v>0</v>
      </c>
      <c r="AS11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1" s="23">
        <v>0</v>
      </c>
      <c r="AU11" s="20">
        <f>SuiviExec[[#This Row],[Situation méritée (CA Produit)]]-SuiviExec[[#This Row],[CA Année N-1 (2020)]]</f>
        <v>0</v>
      </c>
      <c r="AV11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1" s="20">
        <f ca="1">SUM(SuiviExec[[#This Row],[Janvier 2022 CA]:[CA &gt; 2023]])</f>
        <v>0</v>
      </c>
      <c r="AX11" s="20">
        <f>SuiviExec[[#This Row],[Situation méritée (CA Produit)]]-SuiviExec[[#This Row],[CA Année N-1 (2020)]]-SuiviExec[[#This Row],[CA 2021 - Réalisé]]</f>
        <v>0</v>
      </c>
      <c r="AY11" s="23">
        <f>SuiviExec[[#This Row],[Avancement physique du chantier (%)]]*SuiviExec[[#This Row],[Budget MO (€)]]</f>
        <v>0</v>
      </c>
      <c r="AZ11" s="23">
        <f>SuiviExec[[#This Row],[Avancement physique du chantier (%)]]*SuiviExec[[#This Row],[Budget Matériel (€)]]</f>
        <v>0</v>
      </c>
      <c r="BA11" s="23">
        <f>SuiviExec[[#This Row],[Budget ST (€)]]*SuiviExec[[#This Row],[Avancement physique du chantier (%)]]</f>
        <v>0</v>
      </c>
      <c r="BB11" s="20">
        <f>SUM(SuiviExec[[#This Row],[Charges 2021 MO (€)]:[Charges 2021 ST (€)]])</f>
        <v>0</v>
      </c>
      <c r="BC11" s="31">
        <v>0</v>
      </c>
      <c r="BD11" s="42">
        <f>SuiviExec[[#This Row],[CA 2021 - Réalisé]]-SuiviExec[[#This Row],[Charges 2021 à date]]</f>
        <v>0</v>
      </c>
      <c r="BE11" s="18" t="str">
        <f>IF(SuiviExec[[#This Row],[Avancement physique du chantier (%)]]&gt;0,IFERROR(SuiviExec[[#This Row],[Marge 2021 à date]]/SuiviExec[[#This Row],[CA 2021 - Réalisé]],""),"")</f>
        <v/>
      </c>
      <c r="BF11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1" s="29"/>
      <c r="BH11" s="33">
        <f>(SuiviExec[[#This Row],[Budget MO Etude (€)]]/Taux_Horaire_Etude+SuiviExec[[#This Row],[Budget MO Agent (heure)]])</f>
        <v>44.644444444444446</v>
      </c>
      <c r="BI11" s="34">
        <f ca="1">SuiviExec[[#This Row],[Estimation Budget MO (heures)]]-SUM(SuiviExec[[#This Row],[MO &lt; 2021]:[MO &gt; 2023]])</f>
        <v>0</v>
      </c>
      <c r="BJ11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1" s="19">
        <f t="shared" ca="1" si="0"/>
        <v>0</v>
      </c>
      <c r="BL11" s="19">
        <f t="shared" ca="1" si="0"/>
        <v>0</v>
      </c>
      <c r="BM11" s="19">
        <f t="shared" ca="1" si="0"/>
        <v>0</v>
      </c>
      <c r="BN11" s="19">
        <f t="shared" ca="1" si="0"/>
        <v>0</v>
      </c>
      <c r="BO11" s="19">
        <f t="shared" ca="1" si="0"/>
        <v>0</v>
      </c>
      <c r="BP11" s="19">
        <f t="shared" ca="1" si="0"/>
        <v>0</v>
      </c>
      <c r="BQ11" s="19">
        <f t="shared" ca="1" si="0"/>
        <v>0</v>
      </c>
      <c r="BR11" s="19">
        <f t="shared" ca="1" si="0"/>
        <v>0</v>
      </c>
      <c r="BS11" s="19">
        <f t="shared" ca="1" si="0"/>
        <v>0</v>
      </c>
      <c r="BT11" s="19">
        <f t="shared" ca="1" si="0"/>
        <v>0</v>
      </c>
      <c r="BU11" s="19">
        <f t="shared" ca="1" si="0"/>
        <v>0</v>
      </c>
      <c r="BV11" s="19">
        <f t="shared" ca="1" si="0"/>
        <v>44.644444444444446</v>
      </c>
      <c r="BW11" s="19">
        <f t="shared" ca="1" si="0"/>
        <v>0</v>
      </c>
      <c r="BX11" s="19">
        <f t="shared" ca="1" si="0"/>
        <v>0</v>
      </c>
      <c r="BY11" s="19">
        <f t="shared" ca="1" si="0"/>
        <v>0</v>
      </c>
      <c r="BZ11" s="19">
        <f t="shared" ca="1" si="0"/>
        <v>0</v>
      </c>
      <c r="CA11" s="19">
        <f t="shared" ca="1" si="1"/>
        <v>0</v>
      </c>
      <c r="CB11" s="19">
        <f t="shared" ca="1" si="1"/>
        <v>0</v>
      </c>
      <c r="CC11" s="19">
        <f t="shared" ca="1" si="1"/>
        <v>0</v>
      </c>
      <c r="CD11" s="19">
        <f t="shared" ca="1" si="1"/>
        <v>0</v>
      </c>
      <c r="CE11" s="19">
        <f t="shared" ca="1" si="1"/>
        <v>0</v>
      </c>
      <c r="CF11" s="19">
        <f t="shared" ca="1" si="1"/>
        <v>0</v>
      </c>
      <c r="CG11" s="19">
        <f t="shared" ca="1" si="1"/>
        <v>0</v>
      </c>
      <c r="CH11" s="19">
        <f t="shared" ca="1" si="1"/>
        <v>0</v>
      </c>
      <c r="CI11" s="19">
        <f t="shared" ca="1" si="1"/>
        <v>0</v>
      </c>
      <c r="CJ11" s="19">
        <f t="shared" ca="1" si="1"/>
        <v>0</v>
      </c>
      <c r="CK11" s="19">
        <f t="shared" ca="1" si="1"/>
        <v>0</v>
      </c>
      <c r="CL11" s="19">
        <f t="shared" ca="1" si="1"/>
        <v>0</v>
      </c>
      <c r="CM11" s="19">
        <f t="shared" ca="1" si="1"/>
        <v>0</v>
      </c>
      <c r="CN11" s="19">
        <f t="shared" ca="1" si="1"/>
        <v>0</v>
      </c>
      <c r="CO11" s="19">
        <f t="shared" ca="1" si="1"/>
        <v>0</v>
      </c>
      <c r="CP11" s="19">
        <f t="shared" ca="1" si="1"/>
        <v>0</v>
      </c>
      <c r="CQ11" s="19">
        <f t="shared" ca="1" si="2"/>
        <v>0</v>
      </c>
      <c r="CR11" s="19">
        <f t="shared" ca="1" si="2"/>
        <v>0</v>
      </c>
      <c r="CS11" s="19">
        <f t="shared" ca="1" si="2"/>
        <v>0</v>
      </c>
      <c r="CT11" s="19">
        <f t="shared" ca="1" si="2"/>
        <v>0</v>
      </c>
      <c r="CU11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1" s="35"/>
      <c r="CW11" s="36">
        <f ca="1">SuiviExec[[#This Row],[CA Vendu initial (€)]]-SUM(SuiviExec[[#This Row],[CA &lt; 2021]:[CA &gt; 2023]])</f>
        <v>0</v>
      </c>
      <c r="CX11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1" s="37">
        <f t="shared" ca="1" si="3"/>
        <v>0</v>
      </c>
      <c r="CZ11" s="37">
        <f t="shared" ca="1" si="3"/>
        <v>0</v>
      </c>
      <c r="DA11" s="37">
        <f t="shared" ca="1" si="3"/>
        <v>0</v>
      </c>
      <c r="DB11" s="37">
        <f t="shared" ca="1" si="3"/>
        <v>0</v>
      </c>
      <c r="DC11" s="37">
        <f t="shared" ca="1" si="3"/>
        <v>0</v>
      </c>
      <c r="DD11" s="37">
        <f t="shared" ca="1" si="3"/>
        <v>0</v>
      </c>
      <c r="DE11" s="37">
        <f t="shared" ca="1" si="3"/>
        <v>0</v>
      </c>
      <c r="DF11" s="37">
        <f t="shared" ca="1" si="3"/>
        <v>0</v>
      </c>
      <c r="DG11" s="37">
        <f t="shared" ca="1" si="3"/>
        <v>0</v>
      </c>
      <c r="DH11" s="37">
        <f t="shared" ca="1" si="3"/>
        <v>0</v>
      </c>
      <c r="DI11" s="37">
        <f t="shared" ca="1" si="3"/>
        <v>0</v>
      </c>
      <c r="DJ11" s="37">
        <f t="shared" ca="1" si="3"/>
        <v>7641</v>
      </c>
      <c r="DK11" s="37">
        <f t="shared" ca="1" si="3"/>
        <v>0</v>
      </c>
      <c r="DL11" s="37">
        <f t="shared" ca="1" si="3"/>
        <v>0</v>
      </c>
      <c r="DM11" s="37">
        <f t="shared" ca="1" si="3"/>
        <v>0</v>
      </c>
      <c r="DN11" s="37">
        <f t="shared" ca="1" si="3"/>
        <v>0</v>
      </c>
      <c r="DO11" s="37">
        <f t="shared" ca="1" si="4"/>
        <v>0</v>
      </c>
      <c r="DP11" s="37">
        <f t="shared" ca="1" si="4"/>
        <v>0</v>
      </c>
      <c r="DQ11" s="37">
        <f t="shared" ca="1" si="4"/>
        <v>0</v>
      </c>
      <c r="DR11" s="37">
        <f t="shared" ca="1" si="4"/>
        <v>0</v>
      </c>
      <c r="DS11" s="37">
        <f t="shared" ca="1" si="4"/>
        <v>0</v>
      </c>
      <c r="DT11" s="37">
        <f t="shared" ca="1" si="4"/>
        <v>0</v>
      </c>
      <c r="DU11" s="37">
        <f t="shared" ca="1" si="4"/>
        <v>0</v>
      </c>
      <c r="DV11" s="37">
        <f t="shared" ca="1" si="4"/>
        <v>0</v>
      </c>
      <c r="DW11" s="37">
        <f t="shared" ca="1" si="4"/>
        <v>0</v>
      </c>
      <c r="DX11" s="37">
        <f t="shared" ca="1" si="4"/>
        <v>0</v>
      </c>
      <c r="DY11" s="37">
        <f t="shared" ca="1" si="4"/>
        <v>0</v>
      </c>
      <c r="DZ11" s="37">
        <f t="shared" ca="1" si="4"/>
        <v>0</v>
      </c>
      <c r="EA11" s="37">
        <f t="shared" ca="1" si="4"/>
        <v>0</v>
      </c>
      <c r="EB11" s="37">
        <f t="shared" ca="1" si="4"/>
        <v>0</v>
      </c>
      <c r="EC11" s="37">
        <f t="shared" ca="1" si="4"/>
        <v>0</v>
      </c>
      <c r="ED11" s="37">
        <f t="shared" ca="1" si="4"/>
        <v>0</v>
      </c>
      <c r="EE11" s="37">
        <f t="shared" ca="1" si="5"/>
        <v>0</v>
      </c>
      <c r="EF11" s="37">
        <f t="shared" ca="1" si="5"/>
        <v>0</v>
      </c>
      <c r="EG11" s="37">
        <f t="shared" ca="1" si="5"/>
        <v>0</v>
      </c>
      <c r="EH11" s="37">
        <f t="shared" ca="1" si="5"/>
        <v>0</v>
      </c>
      <c r="EI11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1" s="38">
        <f>IFERROR(SuiviExec[[#This Row],[PAT CA (€)]]/SuiviExec[[#This Row],[CA Vendu initial (€)]],0)</f>
        <v>1</v>
      </c>
      <c r="EK11" s="39"/>
      <c r="EL11" s="40" t="str">
        <f>IF(OR(ISBLANK(SuiviExec[[#This Row],[Budget MO (€)]]),ISBLANK(SuiviExec[[#This Row],[Budget Matériel (€)]]),ISBLANK(SuiviExec[[#This Row],[Budget ST (€)]])),"Budget non détaillé","")</f>
        <v/>
      </c>
    </row>
    <row r="12" spans="1:142" ht="15.75" x14ac:dyDescent="0.25">
      <c r="A12" s="14" t="s">
        <v>188</v>
      </c>
      <c r="B12" s="14" t="s">
        <v>189</v>
      </c>
      <c r="C12" s="14"/>
      <c r="D12" s="14"/>
      <c r="E12" s="14"/>
      <c r="F12" s="14"/>
      <c r="G12" s="15">
        <v>44494</v>
      </c>
      <c r="H12" s="16" t="s">
        <v>190</v>
      </c>
      <c r="I12" s="16" t="s">
        <v>191</v>
      </c>
      <c r="J12" s="17">
        <v>32450</v>
      </c>
      <c r="K12" s="17">
        <v>8790</v>
      </c>
      <c r="L12" s="18">
        <f>IFERROR(SuiviExec[[#This Row],[Marge Vendue Initiale (€)]]/SuiviExec[[#This Row],[CA Vendu initial (€)]],"")</f>
        <v>0.27087827426810479</v>
      </c>
      <c r="M12" s="17"/>
      <c r="N12" s="19">
        <v>96</v>
      </c>
      <c r="O12" s="20">
        <f>SuiviExec[[#This Row],[Budget MO Etude (€)]]+SuiviExec[[#This Row],[Budget MO Agent (heure)]]*Taux_Horaire_Agent</f>
        <v>2784</v>
      </c>
      <c r="P12" s="17">
        <v>14516</v>
      </c>
      <c r="Q12" s="17">
        <v>6360</v>
      </c>
      <c r="R12" s="21">
        <f>SUM(SuiviExec[[#This Row],[Budget MO (€)]:[Budget ST (€)]])</f>
        <v>23660</v>
      </c>
      <c r="S12" s="22">
        <v>44531</v>
      </c>
      <c r="T12" s="22">
        <v>44615</v>
      </c>
      <c r="U12" s="23"/>
      <c r="V12" s="24" cm="1">
        <f t="array" ref="V1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2" s="20">
        <f>IFERROR(SuiviExec[[#This Row],[Réalisé MO Etude (€)]]+SuiviExec[[#This Row],[Réalisé MO Agent (heure)]]*Taux_Horaire_Agent,0)</f>
        <v>0</v>
      </c>
      <c r="X1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2" s="21">
        <f>SUM(SuiviExec[[#This Row],[Réalisé MO (€)]:[Réalisé ST (€)]])</f>
        <v>0</v>
      </c>
      <c r="AA12" s="26">
        <v>0</v>
      </c>
      <c r="AB12" s="41"/>
      <c r="AC12" s="41">
        <v>96</v>
      </c>
      <c r="AD12" s="20">
        <f>IFERROR(SuiviExec[[#This Row],[PAT MO Etude (€)]]+SuiviExec[[#This Row],[PAT MO Agent (heure)]]*Taux_Horaire_Agent,0)</f>
        <v>2784</v>
      </c>
      <c r="AE12" s="28">
        <f>SuiviExec[[#This Row],[Budget Matériel (€)]]</f>
        <v>14516</v>
      </c>
      <c r="AF12" s="28">
        <f>SuiviExec[[#This Row],[Budget ST (€)]]</f>
        <v>6360</v>
      </c>
      <c r="AG12" s="21">
        <f>SUM(SuiviExec[[#This Row],[PAT MO (€)]:[PAT ST (€)]])</f>
        <v>23660</v>
      </c>
      <c r="AH12" s="28">
        <v>32450</v>
      </c>
      <c r="AI12" s="21">
        <f>SuiviExec[[#This Row],[PAT CA (€)]]-SuiviExec[[#This Row],[PAT Coût Total (€)]]</f>
        <v>8790</v>
      </c>
      <c r="AJ12" s="18">
        <f>IFERROR(SuiviExec[[#This Row],[PAT Marge (€)]]/SuiviExec[[#This Row],[PAT CA (€)]],"Saisir le PAT")</f>
        <v>0.27087827426810479</v>
      </c>
      <c r="AK12" s="29"/>
      <c r="AL12" s="28"/>
      <c r="AM12" s="29"/>
      <c r="AN12" s="28"/>
      <c r="AO12" s="30">
        <f>SuiviExec[[#This Row],[CA Vendu initial (€)]]*SuiviExec[[#This Row],[Avancement physique du chantier (%)]]</f>
        <v>0</v>
      </c>
      <c r="AP12" s="23">
        <v>0</v>
      </c>
      <c r="AQ12" s="20">
        <f>IF(SuiviExec[[#This Row],[Avancement physique du chantier (%)]]=0,0,SuiviExec[[#This Row],[Situation méritée (CA Produit)]]-SuiviExec[[#This Row],[Montant Facturé (€)]])</f>
        <v>0</v>
      </c>
      <c r="AR12" s="23">
        <v>0</v>
      </c>
      <c r="AS1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2" s="23">
        <v>0</v>
      </c>
      <c r="AU12" s="20">
        <f>SuiviExec[[#This Row],[Situation méritée (CA Produit)]]-SuiviExec[[#This Row],[CA Année N-1 (2020)]]</f>
        <v>0</v>
      </c>
      <c r="AV12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2" s="20">
        <f ca="1">SUM(SuiviExec[[#This Row],[Janvier 2022 CA]:[CA &gt; 2023]])</f>
        <v>21633.333333333332</v>
      </c>
      <c r="AX12" s="20">
        <f>SuiviExec[[#This Row],[Situation méritée (CA Produit)]]-SuiviExec[[#This Row],[CA Année N-1 (2020)]]-SuiviExec[[#This Row],[CA 2021 - Réalisé]]</f>
        <v>0</v>
      </c>
      <c r="AY12" s="23">
        <f>SuiviExec[[#This Row],[Avancement physique du chantier (%)]]*SuiviExec[[#This Row],[Budget MO (€)]]</f>
        <v>0</v>
      </c>
      <c r="AZ12" s="23">
        <f>SuiviExec[[#This Row],[Avancement physique du chantier (%)]]*SuiviExec[[#This Row],[Budget Matériel (€)]]</f>
        <v>0</v>
      </c>
      <c r="BA12" s="23">
        <f>SuiviExec[[#This Row],[Budget ST (€)]]*SuiviExec[[#This Row],[Avancement physique du chantier (%)]]</f>
        <v>0</v>
      </c>
      <c r="BB12" s="20">
        <f>SUM(SuiviExec[[#This Row],[Charges 2021 MO (€)]:[Charges 2021 ST (€)]])</f>
        <v>0</v>
      </c>
      <c r="BC12" s="31">
        <v>0</v>
      </c>
      <c r="BD12" s="42">
        <f>SuiviExec[[#This Row],[CA 2021 - Réalisé]]-SuiviExec[[#This Row],[Charges 2021 à date]]</f>
        <v>0</v>
      </c>
      <c r="BE12" s="18" t="str">
        <f>IF(SuiviExec[[#This Row],[Avancement physique du chantier (%)]]&gt;0,IFERROR(SuiviExec[[#This Row],[Marge 2021 à date]]/SuiviExec[[#This Row],[CA 2021 - Réalisé]],""),"")</f>
        <v/>
      </c>
      <c r="BF1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2" s="29"/>
      <c r="BH12" s="33">
        <f>(SuiviExec[[#This Row],[Budget MO Etude (€)]]/Taux_Horaire_Etude+SuiviExec[[#This Row],[Budget MO Agent (heure)]])</f>
        <v>96</v>
      </c>
      <c r="BI12" s="34">
        <f ca="1">SuiviExec[[#This Row],[Estimation Budget MO (heures)]]-SUM(SuiviExec[[#This Row],[MO &lt; 2021]:[MO &gt; 2023]])</f>
        <v>0</v>
      </c>
      <c r="BJ12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2" s="19">
        <f t="shared" ca="1" si="0"/>
        <v>0</v>
      </c>
      <c r="BL12" s="19">
        <f t="shared" ca="1" si="0"/>
        <v>0</v>
      </c>
      <c r="BM12" s="19">
        <f t="shared" ca="1" si="0"/>
        <v>0</v>
      </c>
      <c r="BN12" s="19">
        <f t="shared" ca="1" si="0"/>
        <v>0</v>
      </c>
      <c r="BO12" s="19">
        <f t="shared" ca="1" si="0"/>
        <v>0</v>
      </c>
      <c r="BP12" s="19">
        <f t="shared" ca="1" si="0"/>
        <v>0</v>
      </c>
      <c r="BQ12" s="19">
        <f t="shared" ca="1" si="0"/>
        <v>0</v>
      </c>
      <c r="BR12" s="19">
        <f t="shared" ca="1" si="0"/>
        <v>0</v>
      </c>
      <c r="BS12" s="19">
        <f t="shared" ca="1" si="0"/>
        <v>0</v>
      </c>
      <c r="BT12" s="19">
        <f t="shared" ca="1" si="0"/>
        <v>0</v>
      </c>
      <c r="BU12" s="19">
        <f t="shared" ca="1" si="0"/>
        <v>0</v>
      </c>
      <c r="BV12" s="19">
        <f t="shared" ca="1" si="0"/>
        <v>32</v>
      </c>
      <c r="BW12" s="19">
        <f t="shared" ca="1" si="0"/>
        <v>32</v>
      </c>
      <c r="BX12" s="19">
        <f t="shared" ca="1" si="0"/>
        <v>32</v>
      </c>
      <c r="BY12" s="19">
        <f t="shared" ca="1" si="0"/>
        <v>0</v>
      </c>
      <c r="BZ12" s="19">
        <f t="shared" ca="1" si="0"/>
        <v>0</v>
      </c>
      <c r="CA12" s="19">
        <f t="shared" ca="1" si="1"/>
        <v>0</v>
      </c>
      <c r="CB12" s="19">
        <f t="shared" ca="1" si="1"/>
        <v>0</v>
      </c>
      <c r="CC12" s="19">
        <f t="shared" ca="1" si="1"/>
        <v>0</v>
      </c>
      <c r="CD12" s="19">
        <f t="shared" ca="1" si="1"/>
        <v>0</v>
      </c>
      <c r="CE12" s="19">
        <f t="shared" ca="1" si="1"/>
        <v>0</v>
      </c>
      <c r="CF12" s="19">
        <f t="shared" ca="1" si="1"/>
        <v>0</v>
      </c>
      <c r="CG12" s="19">
        <f t="shared" ca="1" si="1"/>
        <v>0</v>
      </c>
      <c r="CH12" s="19">
        <f t="shared" ca="1" si="1"/>
        <v>0</v>
      </c>
      <c r="CI12" s="19">
        <f t="shared" ca="1" si="1"/>
        <v>0</v>
      </c>
      <c r="CJ12" s="19">
        <f t="shared" ca="1" si="1"/>
        <v>0</v>
      </c>
      <c r="CK12" s="19">
        <f t="shared" ca="1" si="1"/>
        <v>0</v>
      </c>
      <c r="CL12" s="19">
        <f t="shared" ca="1" si="1"/>
        <v>0</v>
      </c>
      <c r="CM12" s="19">
        <f t="shared" ca="1" si="1"/>
        <v>0</v>
      </c>
      <c r="CN12" s="19">
        <f t="shared" ca="1" si="1"/>
        <v>0</v>
      </c>
      <c r="CO12" s="19">
        <f t="shared" ca="1" si="1"/>
        <v>0</v>
      </c>
      <c r="CP12" s="19">
        <f t="shared" ca="1" si="1"/>
        <v>0</v>
      </c>
      <c r="CQ12" s="19">
        <f t="shared" ca="1" si="2"/>
        <v>0</v>
      </c>
      <c r="CR12" s="19">
        <f t="shared" ca="1" si="2"/>
        <v>0</v>
      </c>
      <c r="CS12" s="19">
        <f t="shared" ca="1" si="2"/>
        <v>0</v>
      </c>
      <c r="CT12" s="19">
        <f t="shared" ca="1" si="2"/>
        <v>0</v>
      </c>
      <c r="CU12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2" s="35"/>
      <c r="CW12" s="36">
        <f ca="1">SuiviExec[[#This Row],[CA Vendu initial (€)]]-SUM(SuiviExec[[#This Row],[CA &lt; 2021]:[CA &gt; 2023]])</f>
        <v>0</v>
      </c>
      <c r="CX1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2" s="37">
        <f t="shared" ca="1" si="3"/>
        <v>0</v>
      </c>
      <c r="CZ12" s="37">
        <f t="shared" ca="1" si="3"/>
        <v>0</v>
      </c>
      <c r="DA12" s="37">
        <f t="shared" ca="1" si="3"/>
        <v>0</v>
      </c>
      <c r="DB12" s="37">
        <f t="shared" ca="1" si="3"/>
        <v>0</v>
      </c>
      <c r="DC12" s="37">
        <f t="shared" ca="1" si="3"/>
        <v>0</v>
      </c>
      <c r="DD12" s="37">
        <f t="shared" ca="1" si="3"/>
        <v>0</v>
      </c>
      <c r="DE12" s="37">
        <f t="shared" ca="1" si="3"/>
        <v>0</v>
      </c>
      <c r="DF12" s="37">
        <f t="shared" ca="1" si="3"/>
        <v>0</v>
      </c>
      <c r="DG12" s="37">
        <f t="shared" ca="1" si="3"/>
        <v>0</v>
      </c>
      <c r="DH12" s="37">
        <f t="shared" ca="1" si="3"/>
        <v>0</v>
      </c>
      <c r="DI12" s="37">
        <f t="shared" ca="1" si="3"/>
        <v>0</v>
      </c>
      <c r="DJ12" s="37">
        <f t="shared" ca="1" si="3"/>
        <v>10816.666666666666</v>
      </c>
      <c r="DK12" s="37">
        <f t="shared" ca="1" si="3"/>
        <v>10816.666666666666</v>
      </c>
      <c r="DL12" s="37">
        <f t="shared" ca="1" si="3"/>
        <v>10816.666666666666</v>
      </c>
      <c r="DM12" s="37">
        <f t="shared" ca="1" si="3"/>
        <v>0</v>
      </c>
      <c r="DN12" s="37">
        <f t="shared" ca="1" si="3"/>
        <v>0</v>
      </c>
      <c r="DO12" s="37">
        <f t="shared" ca="1" si="4"/>
        <v>0</v>
      </c>
      <c r="DP12" s="37">
        <f t="shared" ca="1" si="4"/>
        <v>0</v>
      </c>
      <c r="DQ12" s="37">
        <f t="shared" ca="1" si="4"/>
        <v>0</v>
      </c>
      <c r="DR12" s="37">
        <f t="shared" ca="1" si="4"/>
        <v>0</v>
      </c>
      <c r="DS12" s="37">
        <f t="shared" ca="1" si="4"/>
        <v>0</v>
      </c>
      <c r="DT12" s="37">
        <f t="shared" ca="1" si="4"/>
        <v>0</v>
      </c>
      <c r="DU12" s="37">
        <f t="shared" ca="1" si="4"/>
        <v>0</v>
      </c>
      <c r="DV12" s="37">
        <f t="shared" ca="1" si="4"/>
        <v>0</v>
      </c>
      <c r="DW12" s="37">
        <f t="shared" ca="1" si="4"/>
        <v>0</v>
      </c>
      <c r="DX12" s="37">
        <f t="shared" ca="1" si="4"/>
        <v>0</v>
      </c>
      <c r="DY12" s="37">
        <f t="shared" ca="1" si="4"/>
        <v>0</v>
      </c>
      <c r="DZ12" s="37">
        <f t="shared" ca="1" si="4"/>
        <v>0</v>
      </c>
      <c r="EA12" s="37">
        <f t="shared" ca="1" si="4"/>
        <v>0</v>
      </c>
      <c r="EB12" s="37">
        <f t="shared" ca="1" si="4"/>
        <v>0</v>
      </c>
      <c r="EC12" s="37">
        <f t="shared" ca="1" si="4"/>
        <v>0</v>
      </c>
      <c r="ED12" s="37">
        <f t="shared" ca="1" si="4"/>
        <v>0</v>
      </c>
      <c r="EE12" s="37">
        <f t="shared" ca="1" si="5"/>
        <v>0</v>
      </c>
      <c r="EF12" s="37">
        <f t="shared" ca="1" si="5"/>
        <v>0</v>
      </c>
      <c r="EG12" s="37">
        <f t="shared" ca="1" si="5"/>
        <v>0</v>
      </c>
      <c r="EH12" s="37">
        <f t="shared" ca="1" si="5"/>
        <v>0</v>
      </c>
      <c r="EI1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2" s="38">
        <f>IFERROR(SuiviExec[[#This Row],[PAT CA (€)]]/SuiviExec[[#This Row],[CA Vendu initial (€)]],0)</f>
        <v>1</v>
      </c>
      <c r="EK12" s="39"/>
      <c r="EL12" s="40" t="str">
        <f>IF(OR(ISBLANK(SuiviExec[[#This Row],[Budget MO (€)]]),ISBLANK(SuiviExec[[#This Row],[Budget Matériel (€)]]),ISBLANK(SuiviExec[[#This Row],[Budget ST (€)]])),"Budget non détaillé","")</f>
        <v/>
      </c>
    </row>
    <row r="13" spans="1:142" ht="15.75" x14ac:dyDescent="0.25">
      <c r="A13" s="14" t="s">
        <v>192</v>
      </c>
      <c r="B13" s="14" t="s">
        <v>169</v>
      </c>
      <c r="C13" s="14" t="s">
        <v>144</v>
      </c>
      <c r="D13" s="14" t="s">
        <v>152</v>
      </c>
      <c r="E13" s="14" t="s">
        <v>152</v>
      </c>
      <c r="F13" s="14" t="s">
        <v>146</v>
      </c>
      <c r="G13" s="15">
        <v>44504</v>
      </c>
      <c r="H13" s="16" t="s">
        <v>193</v>
      </c>
      <c r="I13" s="16" t="s">
        <v>194</v>
      </c>
      <c r="J13" s="17">
        <v>1380</v>
      </c>
      <c r="K13" s="17">
        <v>474</v>
      </c>
      <c r="L13" s="18">
        <f>IFERROR(SuiviExec[[#This Row],[Marge Vendue Initiale (€)]]/SuiviExec[[#This Row],[CA Vendu initial (€)]],"")</f>
        <v>0.34347826086956523</v>
      </c>
      <c r="M13" s="17"/>
      <c r="N13" s="19">
        <v>4</v>
      </c>
      <c r="O13" s="20">
        <f>SuiviExec[[#This Row],[Budget MO Etude (€)]]+SuiviExec[[#This Row],[Budget MO Agent (heure)]]*Taux_Horaire_Agent</f>
        <v>116</v>
      </c>
      <c r="P13" s="17">
        <v>790</v>
      </c>
      <c r="Q13" s="17">
        <v>0</v>
      </c>
      <c r="R13" s="21">
        <f>SUM(SuiviExec[[#This Row],[Budget MO (€)]:[Budget ST (€)]])</f>
        <v>906</v>
      </c>
      <c r="S13" s="22">
        <v>44522</v>
      </c>
      <c r="T13" s="22">
        <v>44529</v>
      </c>
      <c r="U13" s="23"/>
      <c r="V13" s="24" cm="1">
        <f t="array" ref="V1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3" s="20">
        <f>IFERROR(SuiviExec[[#This Row],[Réalisé MO Etude (€)]]+SuiviExec[[#This Row],[Réalisé MO Agent (heure)]]*Taux_Horaire_Agent,0)</f>
        <v>0</v>
      </c>
      <c r="X1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3" s="21">
        <f>SUM(SuiviExec[[#This Row],[Réalisé MO (€)]:[Réalisé ST (€)]])</f>
        <v>0</v>
      </c>
      <c r="AA13" s="26">
        <v>0</v>
      </c>
      <c r="AB13" s="41"/>
      <c r="AC13" s="41">
        <v>4</v>
      </c>
      <c r="AD13" s="20">
        <f>IFERROR(SuiviExec[[#This Row],[PAT MO Etude (€)]]+SuiviExec[[#This Row],[PAT MO Agent (heure)]]*Taux_Horaire_Agent,0)</f>
        <v>116</v>
      </c>
      <c r="AE13" s="28">
        <f>SuiviExec[[#This Row],[Budget Matériel (€)]]</f>
        <v>790</v>
      </c>
      <c r="AF13" s="28">
        <f>SuiviExec[[#This Row],[Budget ST (€)]]</f>
        <v>0</v>
      </c>
      <c r="AG13" s="21">
        <f>SUM(SuiviExec[[#This Row],[PAT MO (€)]:[PAT ST (€)]])</f>
        <v>906</v>
      </c>
      <c r="AH13" s="28">
        <v>1380</v>
      </c>
      <c r="AI13" s="21">
        <f>SuiviExec[[#This Row],[PAT CA (€)]]-SuiviExec[[#This Row],[PAT Coût Total (€)]]</f>
        <v>474</v>
      </c>
      <c r="AJ13" s="18">
        <f>IFERROR(SuiviExec[[#This Row],[PAT Marge (€)]]/SuiviExec[[#This Row],[PAT CA (€)]],"Saisir le PAT")</f>
        <v>0.34347826086956523</v>
      </c>
      <c r="AK13" s="29"/>
      <c r="AL13" s="28"/>
      <c r="AM13" s="29"/>
      <c r="AN13" s="28"/>
      <c r="AO13" s="30">
        <f>SuiviExec[[#This Row],[CA Vendu initial (€)]]*SuiviExec[[#This Row],[Avancement physique du chantier (%)]]</f>
        <v>0</v>
      </c>
      <c r="AP13" s="23">
        <v>0</v>
      </c>
      <c r="AQ13" s="20">
        <f>IF(SuiviExec[[#This Row],[Avancement physique du chantier (%)]]=0,0,SuiviExec[[#This Row],[Situation méritée (CA Produit)]]-SuiviExec[[#This Row],[Montant Facturé (€)]])</f>
        <v>0</v>
      </c>
      <c r="AR13" s="23">
        <v>0</v>
      </c>
      <c r="AS1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3" s="23">
        <v>0</v>
      </c>
      <c r="AU13" s="20">
        <f>SuiviExec[[#This Row],[Situation méritée (CA Produit)]]-SuiviExec[[#This Row],[CA Année N-1 (2020)]]</f>
        <v>0</v>
      </c>
      <c r="AV13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3" s="20">
        <f ca="1">SUM(SuiviExec[[#This Row],[Janvier 2022 CA]:[CA &gt; 2023]])</f>
        <v>0</v>
      </c>
      <c r="AX13" s="20">
        <f>SuiviExec[[#This Row],[Situation méritée (CA Produit)]]-SuiviExec[[#This Row],[CA Année N-1 (2020)]]-SuiviExec[[#This Row],[CA 2021 - Réalisé]]</f>
        <v>0</v>
      </c>
      <c r="AY13" s="23">
        <f>SuiviExec[[#This Row],[Avancement physique du chantier (%)]]*SuiviExec[[#This Row],[Budget MO (€)]]</f>
        <v>0</v>
      </c>
      <c r="AZ13" s="23">
        <f>SuiviExec[[#This Row],[Avancement physique du chantier (%)]]*SuiviExec[[#This Row],[Budget Matériel (€)]]</f>
        <v>0</v>
      </c>
      <c r="BA13" s="23">
        <f>SuiviExec[[#This Row],[Budget ST (€)]]*SuiviExec[[#This Row],[Avancement physique du chantier (%)]]</f>
        <v>0</v>
      </c>
      <c r="BB13" s="20">
        <f>SUM(SuiviExec[[#This Row],[Charges 2021 MO (€)]:[Charges 2021 ST (€)]])</f>
        <v>0</v>
      </c>
      <c r="BC13" s="31">
        <v>0</v>
      </c>
      <c r="BD13" s="42">
        <f>SuiviExec[[#This Row],[CA 2021 - Réalisé]]-SuiviExec[[#This Row],[Charges 2021 à date]]</f>
        <v>0</v>
      </c>
      <c r="BE13" s="18" t="str">
        <f>IF(SuiviExec[[#This Row],[Avancement physique du chantier (%)]]&gt;0,IFERROR(SuiviExec[[#This Row],[Marge 2021 à date]]/SuiviExec[[#This Row],[CA 2021 - Réalisé]],""),"")</f>
        <v/>
      </c>
      <c r="BF1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3" s="29"/>
      <c r="BH13" s="33">
        <f>(SuiviExec[[#This Row],[Budget MO Etude (€)]]/Taux_Horaire_Etude+SuiviExec[[#This Row],[Budget MO Agent (heure)]])</f>
        <v>4</v>
      </c>
      <c r="BI13" s="34">
        <f ca="1">SuiviExec[[#This Row],[Estimation Budget MO (heures)]]-SUM(SuiviExec[[#This Row],[MO &lt; 2021]:[MO &gt; 2023]])</f>
        <v>0</v>
      </c>
      <c r="BJ13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3" s="19">
        <f t="shared" ca="1" si="0"/>
        <v>0</v>
      </c>
      <c r="BL13" s="19">
        <f t="shared" ca="1" si="0"/>
        <v>0</v>
      </c>
      <c r="BM13" s="19">
        <f t="shared" ca="1" si="0"/>
        <v>0</v>
      </c>
      <c r="BN13" s="19">
        <f t="shared" ca="1" si="0"/>
        <v>0</v>
      </c>
      <c r="BO13" s="19">
        <f t="shared" ca="1" si="0"/>
        <v>0</v>
      </c>
      <c r="BP13" s="19">
        <f t="shared" ca="1" si="0"/>
        <v>0</v>
      </c>
      <c r="BQ13" s="19">
        <f t="shared" ca="1" si="0"/>
        <v>0</v>
      </c>
      <c r="BR13" s="19">
        <f t="shared" ca="1" si="0"/>
        <v>0</v>
      </c>
      <c r="BS13" s="19">
        <f t="shared" ca="1" si="0"/>
        <v>0</v>
      </c>
      <c r="BT13" s="19">
        <f t="shared" ca="1" si="0"/>
        <v>0</v>
      </c>
      <c r="BU13" s="19">
        <f t="shared" ca="1" si="0"/>
        <v>4</v>
      </c>
      <c r="BV13" s="19">
        <f t="shared" ca="1" si="0"/>
        <v>0</v>
      </c>
      <c r="BW13" s="19">
        <f t="shared" ca="1" si="0"/>
        <v>0</v>
      </c>
      <c r="BX13" s="19">
        <f t="shared" ca="1" si="0"/>
        <v>0</v>
      </c>
      <c r="BY13" s="19">
        <f t="shared" ca="1" si="0"/>
        <v>0</v>
      </c>
      <c r="BZ13" s="19">
        <f t="shared" ca="1" si="0"/>
        <v>0</v>
      </c>
      <c r="CA13" s="19">
        <f t="shared" ca="1" si="1"/>
        <v>0</v>
      </c>
      <c r="CB13" s="19">
        <f t="shared" ca="1" si="1"/>
        <v>0</v>
      </c>
      <c r="CC13" s="19">
        <f t="shared" ca="1" si="1"/>
        <v>0</v>
      </c>
      <c r="CD13" s="19">
        <f t="shared" ca="1" si="1"/>
        <v>0</v>
      </c>
      <c r="CE13" s="19">
        <f t="shared" ca="1" si="1"/>
        <v>0</v>
      </c>
      <c r="CF13" s="19">
        <f t="shared" ca="1" si="1"/>
        <v>0</v>
      </c>
      <c r="CG13" s="19">
        <f t="shared" ca="1" si="1"/>
        <v>0</v>
      </c>
      <c r="CH13" s="19">
        <f t="shared" ca="1" si="1"/>
        <v>0</v>
      </c>
      <c r="CI13" s="19">
        <f t="shared" ca="1" si="1"/>
        <v>0</v>
      </c>
      <c r="CJ13" s="19">
        <f t="shared" ca="1" si="1"/>
        <v>0</v>
      </c>
      <c r="CK13" s="19">
        <f t="shared" ca="1" si="1"/>
        <v>0</v>
      </c>
      <c r="CL13" s="19">
        <f t="shared" ca="1" si="1"/>
        <v>0</v>
      </c>
      <c r="CM13" s="19">
        <f t="shared" ca="1" si="1"/>
        <v>0</v>
      </c>
      <c r="CN13" s="19">
        <f t="shared" ca="1" si="1"/>
        <v>0</v>
      </c>
      <c r="CO13" s="19">
        <f t="shared" ca="1" si="1"/>
        <v>0</v>
      </c>
      <c r="CP13" s="19">
        <f t="shared" ca="1" si="1"/>
        <v>0</v>
      </c>
      <c r="CQ13" s="19">
        <f t="shared" ca="1" si="2"/>
        <v>0</v>
      </c>
      <c r="CR13" s="19">
        <f t="shared" ca="1" si="2"/>
        <v>0</v>
      </c>
      <c r="CS13" s="19">
        <f t="shared" ca="1" si="2"/>
        <v>0</v>
      </c>
      <c r="CT13" s="19">
        <f t="shared" ca="1" si="2"/>
        <v>0</v>
      </c>
      <c r="CU13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3" s="35"/>
      <c r="CW13" s="36">
        <f ca="1">SuiviExec[[#This Row],[CA Vendu initial (€)]]-SUM(SuiviExec[[#This Row],[CA &lt; 2021]:[CA &gt; 2023]])</f>
        <v>0</v>
      </c>
      <c r="CX1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3" s="37">
        <f t="shared" ca="1" si="3"/>
        <v>0</v>
      </c>
      <c r="CZ13" s="37">
        <f t="shared" ca="1" si="3"/>
        <v>0</v>
      </c>
      <c r="DA13" s="37">
        <f t="shared" ca="1" si="3"/>
        <v>0</v>
      </c>
      <c r="DB13" s="37">
        <f t="shared" ca="1" si="3"/>
        <v>0</v>
      </c>
      <c r="DC13" s="37">
        <f t="shared" ca="1" si="3"/>
        <v>0</v>
      </c>
      <c r="DD13" s="37">
        <f t="shared" ca="1" si="3"/>
        <v>0</v>
      </c>
      <c r="DE13" s="37">
        <f t="shared" ca="1" si="3"/>
        <v>0</v>
      </c>
      <c r="DF13" s="37">
        <f t="shared" ca="1" si="3"/>
        <v>0</v>
      </c>
      <c r="DG13" s="37">
        <f t="shared" ca="1" si="3"/>
        <v>0</v>
      </c>
      <c r="DH13" s="37">
        <f t="shared" ca="1" si="3"/>
        <v>0</v>
      </c>
      <c r="DI13" s="37">
        <f t="shared" ca="1" si="3"/>
        <v>1380</v>
      </c>
      <c r="DJ13" s="37">
        <f t="shared" ca="1" si="3"/>
        <v>0</v>
      </c>
      <c r="DK13" s="37">
        <f t="shared" ca="1" si="3"/>
        <v>0</v>
      </c>
      <c r="DL13" s="37">
        <f t="shared" ca="1" si="3"/>
        <v>0</v>
      </c>
      <c r="DM13" s="37">
        <f t="shared" ca="1" si="3"/>
        <v>0</v>
      </c>
      <c r="DN13" s="37">
        <f t="shared" ca="1" si="3"/>
        <v>0</v>
      </c>
      <c r="DO13" s="37">
        <f t="shared" ca="1" si="4"/>
        <v>0</v>
      </c>
      <c r="DP13" s="37">
        <f t="shared" ca="1" si="4"/>
        <v>0</v>
      </c>
      <c r="DQ13" s="37">
        <f t="shared" ca="1" si="4"/>
        <v>0</v>
      </c>
      <c r="DR13" s="37">
        <f t="shared" ca="1" si="4"/>
        <v>0</v>
      </c>
      <c r="DS13" s="37">
        <f t="shared" ca="1" si="4"/>
        <v>0</v>
      </c>
      <c r="DT13" s="37">
        <f t="shared" ca="1" si="4"/>
        <v>0</v>
      </c>
      <c r="DU13" s="37">
        <f t="shared" ca="1" si="4"/>
        <v>0</v>
      </c>
      <c r="DV13" s="37">
        <f t="shared" ca="1" si="4"/>
        <v>0</v>
      </c>
      <c r="DW13" s="37">
        <f t="shared" ca="1" si="4"/>
        <v>0</v>
      </c>
      <c r="DX13" s="37">
        <f t="shared" ca="1" si="4"/>
        <v>0</v>
      </c>
      <c r="DY13" s="37">
        <f t="shared" ca="1" si="4"/>
        <v>0</v>
      </c>
      <c r="DZ13" s="37">
        <f t="shared" ca="1" si="4"/>
        <v>0</v>
      </c>
      <c r="EA13" s="37">
        <f t="shared" ca="1" si="4"/>
        <v>0</v>
      </c>
      <c r="EB13" s="37">
        <f t="shared" ca="1" si="4"/>
        <v>0</v>
      </c>
      <c r="EC13" s="37">
        <f t="shared" ca="1" si="4"/>
        <v>0</v>
      </c>
      <c r="ED13" s="37">
        <f t="shared" ca="1" si="4"/>
        <v>0</v>
      </c>
      <c r="EE13" s="37">
        <f t="shared" ca="1" si="5"/>
        <v>0</v>
      </c>
      <c r="EF13" s="37">
        <f t="shared" ca="1" si="5"/>
        <v>0</v>
      </c>
      <c r="EG13" s="37">
        <f t="shared" ca="1" si="5"/>
        <v>0</v>
      </c>
      <c r="EH13" s="37">
        <f t="shared" ca="1" si="5"/>
        <v>0</v>
      </c>
      <c r="EI1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3" s="38">
        <f>IFERROR(SuiviExec[[#This Row],[PAT CA (€)]]/SuiviExec[[#This Row],[CA Vendu initial (€)]],0)</f>
        <v>1</v>
      </c>
      <c r="EK13" s="39"/>
      <c r="EL13" s="40" t="str">
        <f>IF(OR(ISBLANK(SuiviExec[[#This Row],[Budget MO (€)]]),ISBLANK(SuiviExec[[#This Row],[Budget Matériel (€)]]),ISBLANK(SuiviExec[[#This Row],[Budget ST (€)]])),"Budget non détaillé","")</f>
        <v/>
      </c>
    </row>
    <row r="14" spans="1:142" ht="15.75" x14ac:dyDescent="0.25">
      <c r="A14" s="14" t="s">
        <v>195</v>
      </c>
      <c r="B14" s="14" t="s">
        <v>196</v>
      </c>
      <c r="C14" s="14" t="s">
        <v>144</v>
      </c>
      <c r="D14" s="14" t="s">
        <v>197</v>
      </c>
      <c r="E14" s="14" t="s">
        <v>197</v>
      </c>
      <c r="F14" s="14" t="s">
        <v>146</v>
      </c>
      <c r="G14" s="15">
        <v>44348</v>
      </c>
      <c r="H14" s="16" t="s">
        <v>198</v>
      </c>
      <c r="I14" s="16" t="s">
        <v>199</v>
      </c>
      <c r="J14" s="17">
        <v>23400</v>
      </c>
      <c r="K14" s="17">
        <v>4182</v>
      </c>
      <c r="L14" s="18">
        <f>IFERROR(SuiviExec[[#This Row],[Marge Vendue Initiale (€)]]/SuiviExec[[#This Row],[CA Vendu initial (€)]],"")</f>
        <v>0.17871794871794872</v>
      </c>
      <c r="M14" s="17"/>
      <c r="N14" s="19">
        <v>42</v>
      </c>
      <c r="O14" s="20">
        <f>SuiviExec[[#This Row],[Budget MO Etude (€)]]+SuiviExec[[#This Row],[Budget MO Agent (heure)]]*Taux_Horaire_Agent</f>
        <v>1218</v>
      </c>
      <c r="P14" s="17">
        <v>15000</v>
      </c>
      <c r="Q14" s="17">
        <v>3000</v>
      </c>
      <c r="R14" s="21">
        <f>SUM(SuiviExec[[#This Row],[Budget MO (€)]:[Budget ST (€)]])</f>
        <v>19218</v>
      </c>
      <c r="S14" s="22">
        <v>44531</v>
      </c>
      <c r="T14" s="22">
        <v>44615</v>
      </c>
      <c r="U14" s="23"/>
      <c r="V14" s="24" cm="1">
        <f t="array" ref="V1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4" s="20">
        <f>IFERROR(SuiviExec[[#This Row],[Réalisé MO Etude (€)]]+SuiviExec[[#This Row],[Réalisé MO Agent (heure)]]*Taux_Horaire_Agent,0)</f>
        <v>0</v>
      </c>
      <c r="X1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4" s="21">
        <f>SUM(SuiviExec[[#This Row],[Réalisé MO (€)]:[Réalisé ST (€)]])</f>
        <v>0</v>
      </c>
      <c r="AA14" s="26">
        <v>0</v>
      </c>
      <c r="AB14" s="41"/>
      <c r="AC14" s="41">
        <v>42</v>
      </c>
      <c r="AD14" s="20">
        <f>IFERROR(SuiviExec[[#This Row],[PAT MO Etude (€)]]+SuiviExec[[#This Row],[PAT MO Agent (heure)]]*Taux_Horaire_Agent,0)</f>
        <v>1218</v>
      </c>
      <c r="AE14" s="28">
        <f>SuiviExec[[#This Row],[Budget Matériel (€)]]</f>
        <v>15000</v>
      </c>
      <c r="AF14" s="28">
        <f>SuiviExec[[#This Row],[Budget ST (€)]]</f>
        <v>3000</v>
      </c>
      <c r="AG14" s="21">
        <f>SUM(SuiviExec[[#This Row],[PAT MO (€)]:[PAT ST (€)]])</f>
        <v>19218</v>
      </c>
      <c r="AH14" s="28">
        <v>23400</v>
      </c>
      <c r="AI14" s="21">
        <f>SuiviExec[[#This Row],[PAT CA (€)]]-SuiviExec[[#This Row],[PAT Coût Total (€)]]</f>
        <v>4182</v>
      </c>
      <c r="AJ14" s="18">
        <f>IFERROR(SuiviExec[[#This Row],[PAT Marge (€)]]/SuiviExec[[#This Row],[PAT CA (€)]],"Saisir le PAT")</f>
        <v>0.17871794871794872</v>
      </c>
      <c r="AK14" s="29"/>
      <c r="AL14" s="28"/>
      <c r="AM14" s="29"/>
      <c r="AN14" s="28"/>
      <c r="AO14" s="30">
        <f>SuiviExec[[#This Row],[CA Vendu initial (€)]]*SuiviExec[[#This Row],[Avancement physique du chantier (%)]]</f>
        <v>0</v>
      </c>
      <c r="AP14" s="23">
        <v>0</v>
      </c>
      <c r="AQ14" s="20">
        <f>IF(SuiviExec[[#This Row],[Avancement physique du chantier (%)]]=0,0,SuiviExec[[#This Row],[Situation méritée (CA Produit)]]-SuiviExec[[#This Row],[Montant Facturé (€)]])</f>
        <v>0</v>
      </c>
      <c r="AR14" s="23">
        <v>0</v>
      </c>
      <c r="AS1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4" s="23">
        <v>0</v>
      </c>
      <c r="AU14" s="20">
        <f>SuiviExec[[#This Row],[Situation méritée (CA Produit)]]-SuiviExec[[#This Row],[CA Année N-1 (2020)]]</f>
        <v>0</v>
      </c>
      <c r="AV14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4" s="20">
        <f ca="1">SUM(SuiviExec[[#This Row],[Janvier 2022 CA]:[CA &gt; 2023]])</f>
        <v>15600</v>
      </c>
      <c r="AX14" s="20">
        <f>SuiviExec[[#This Row],[Situation méritée (CA Produit)]]-SuiviExec[[#This Row],[CA Année N-1 (2020)]]-SuiviExec[[#This Row],[CA 2021 - Réalisé]]</f>
        <v>0</v>
      </c>
      <c r="AY14" s="23">
        <f>SuiviExec[[#This Row],[Avancement physique du chantier (%)]]*SuiviExec[[#This Row],[Budget MO (€)]]</f>
        <v>0</v>
      </c>
      <c r="AZ14" s="23">
        <f>SuiviExec[[#This Row],[Avancement physique du chantier (%)]]*SuiviExec[[#This Row],[Budget Matériel (€)]]</f>
        <v>0</v>
      </c>
      <c r="BA14" s="23">
        <f>SuiviExec[[#This Row],[Budget ST (€)]]*SuiviExec[[#This Row],[Avancement physique du chantier (%)]]</f>
        <v>0</v>
      </c>
      <c r="BB14" s="20">
        <f>SUM(SuiviExec[[#This Row],[Charges 2021 MO (€)]:[Charges 2021 ST (€)]])</f>
        <v>0</v>
      </c>
      <c r="BC14" s="31">
        <v>0</v>
      </c>
      <c r="BD14" s="42">
        <f>SuiviExec[[#This Row],[CA 2021 - Réalisé]]-SuiviExec[[#This Row],[Charges 2021 à date]]</f>
        <v>0</v>
      </c>
      <c r="BE14" s="18" t="str">
        <f>IF(SuiviExec[[#This Row],[Avancement physique du chantier (%)]]&gt;0,IFERROR(SuiviExec[[#This Row],[Marge 2021 à date]]/SuiviExec[[#This Row],[CA 2021 - Réalisé]],""),"")</f>
        <v/>
      </c>
      <c r="BF1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4" s="29"/>
      <c r="BH14" s="33">
        <f>(SuiviExec[[#This Row],[Budget MO Etude (€)]]/Taux_Horaire_Etude+SuiviExec[[#This Row],[Budget MO Agent (heure)]])</f>
        <v>42</v>
      </c>
      <c r="BI14" s="34">
        <f ca="1">SuiviExec[[#This Row],[Estimation Budget MO (heures)]]-SUM(SuiviExec[[#This Row],[MO &lt; 2021]:[MO &gt; 2023]])</f>
        <v>0</v>
      </c>
      <c r="BJ14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4" s="19">
        <f t="shared" ca="1" si="0"/>
        <v>0</v>
      </c>
      <c r="BL14" s="19">
        <f t="shared" ca="1" si="0"/>
        <v>0</v>
      </c>
      <c r="BM14" s="19">
        <f t="shared" ca="1" si="0"/>
        <v>0</v>
      </c>
      <c r="BN14" s="19">
        <f t="shared" ca="1" si="0"/>
        <v>0</v>
      </c>
      <c r="BO14" s="19">
        <f t="shared" ca="1" si="0"/>
        <v>0</v>
      </c>
      <c r="BP14" s="19">
        <f t="shared" ca="1" si="0"/>
        <v>0</v>
      </c>
      <c r="BQ14" s="19">
        <f t="shared" ca="1" si="0"/>
        <v>0</v>
      </c>
      <c r="BR14" s="19">
        <f t="shared" ca="1" si="0"/>
        <v>0</v>
      </c>
      <c r="BS14" s="19">
        <f t="shared" ca="1" si="0"/>
        <v>0</v>
      </c>
      <c r="BT14" s="19">
        <f t="shared" ca="1" si="0"/>
        <v>0</v>
      </c>
      <c r="BU14" s="19">
        <f t="shared" ca="1" si="0"/>
        <v>0</v>
      </c>
      <c r="BV14" s="19">
        <f t="shared" ca="1" si="0"/>
        <v>14</v>
      </c>
      <c r="BW14" s="19">
        <f t="shared" ca="1" si="0"/>
        <v>14</v>
      </c>
      <c r="BX14" s="19">
        <f t="shared" ca="1" si="0"/>
        <v>14</v>
      </c>
      <c r="BY14" s="19">
        <f t="shared" ca="1" si="0"/>
        <v>0</v>
      </c>
      <c r="BZ14" s="19">
        <f t="shared" ca="1" si="0"/>
        <v>0</v>
      </c>
      <c r="CA14" s="19">
        <f t="shared" ca="1" si="1"/>
        <v>0</v>
      </c>
      <c r="CB14" s="19">
        <f t="shared" ca="1" si="1"/>
        <v>0</v>
      </c>
      <c r="CC14" s="19">
        <f t="shared" ca="1" si="1"/>
        <v>0</v>
      </c>
      <c r="CD14" s="19">
        <f t="shared" ca="1" si="1"/>
        <v>0</v>
      </c>
      <c r="CE14" s="19">
        <f t="shared" ca="1" si="1"/>
        <v>0</v>
      </c>
      <c r="CF14" s="19">
        <f t="shared" ca="1" si="1"/>
        <v>0</v>
      </c>
      <c r="CG14" s="19">
        <f t="shared" ca="1" si="1"/>
        <v>0</v>
      </c>
      <c r="CH14" s="19">
        <f t="shared" ca="1" si="1"/>
        <v>0</v>
      </c>
      <c r="CI14" s="19">
        <f t="shared" ca="1" si="1"/>
        <v>0</v>
      </c>
      <c r="CJ14" s="19">
        <f t="shared" ca="1" si="1"/>
        <v>0</v>
      </c>
      <c r="CK14" s="19">
        <f t="shared" ca="1" si="1"/>
        <v>0</v>
      </c>
      <c r="CL14" s="19">
        <f t="shared" ca="1" si="1"/>
        <v>0</v>
      </c>
      <c r="CM14" s="19">
        <f t="shared" ca="1" si="1"/>
        <v>0</v>
      </c>
      <c r="CN14" s="19">
        <f t="shared" ca="1" si="1"/>
        <v>0</v>
      </c>
      <c r="CO14" s="19">
        <f t="shared" ca="1" si="1"/>
        <v>0</v>
      </c>
      <c r="CP14" s="19">
        <f t="shared" ca="1" si="1"/>
        <v>0</v>
      </c>
      <c r="CQ14" s="19">
        <f t="shared" ca="1" si="2"/>
        <v>0</v>
      </c>
      <c r="CR14" s="19">
        <f t="shared" ca="1" si="2"/>
        <v>0</v>
      </c>
      <c r="CS14" s="19">
        <f t="shared" ca="1" si="2"/>
        <v>0</v>
      </c>
      <c r="CT14" s="19">
        <f t="shared" ca="1" si="2"/>
        <v>0</v>
      </c>
      <c r="CU14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4" s="35"/>
      <c r="CW14" s="36">
        <f ca="1">SuiviExec[[#This Row],[CA Vendu initial (€)]]-SUM(SuiviExec[[#This Row],[CA &lt; 2021]:[CA &gt; 2023]])</f>
        <v>0</v>
      </c>
      <c r="CX1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4" s="37">
        <f t="shared" ca="1" si="3"/>
        <v>0</v>
      </c>
      <c r="CZ14" s="37">
        <f t="shared" ca="1" si="3"/>
        <v>0</v>
      </c>
      <c r="DA14" s="37">
        <f t="shared" ca="1" si="3"/>
        <v>0</v>
      </c>
      <c r="DB14" s="37">
        <f t="shared" ca="1" si="3"/>
        <v>0</v>
      </c>
      <c r="DC14" s="37">
        <f t="shared" ca="1" si="3"/>
        <v>0</v>
      </c>
      <c r="DD14" s="37">
        <f t="shared" ca="1" si="3"/>
        <v>0</v>
      </c>
      <c r="DE14" s="37">
        <f t="shared" ca="1" si="3"/>
        <v>0</v>
      </c>
      <c r="DF14" s="37">
        <f t="shared" ca="1" si="3"/>
        <v>0</v>
      </c>
      <c r="DG14" s="37">
        <f t="shared" ca="1" si="3"/>
        <v>0</v>
      </c>
      <c r="DH14" s="37">
        <f t="shared" ca="1" si="3"/>
        <v>0</v>
      </c>
      <c r="DI14" s="37">
        <f t="shared" ca="1" si="3"/>
        <v>0</v>
      </c>
      <c r="DJ14" s="37">
        <f t="shared" ca="1" si="3"/>
        <v>7800</v>
      </c>
      <c r="DK14" s="37">
        <f t="shared" ca="1" si="3"/>
        <v>7800</v>
      </c>
      <c r="DL14" s="37">
        <f t="shared" ca="1" si="3"/>
        <v>7800</v>
      </c>
      <c r="DM14" s="37">
        <f t="shared" ca="1" si="3"/>
        <v>0</v>
      </c>
      <c r="DN14" s="37">
        <f t="shared" ca="1" si="3"/>
        <v>0</v>
      </c>
      <c r="DO14" s="37">
        <f t="shared" ca="1" si="4"/>
        <v>0</v>
      </c>
      <c r="DP14" s="37">
        <f t="shared" ca="1" si="4"/>
        <v>0</v>
      </c>
      <c r="DQ14" s="37">
        <f t="shared" ca="1" si="4"/>
        <v>0</v>
      </c>
      <c r="DR14" s="37">
        <f t="shared" ca="1" si="4"/>
        <v>0</v>
      </c>
      <c r="DS14" s="37">
        <f t="shared" ca="1" si="4"/>
        <v>0</v>
      </c>
      <c r="DT14" s="37">
        <f t="shared" ca="1" si="4"/>
        <v>0</v>
      </c>
      <c r="DU14" s="37">
        <f t="shared" ca="1" si="4"/>
        <v>0</v>
      </c>
      <c r="DV14" s="37">
        <f t="shared" ca="1" si="4"/>
        <v>0</v>
      </c>
      <c r="DW14" s="37">
        <f t="shared" ca="1" si="4"/>
        <v>0</v>
      </c>
      <c r="DX14" s="37">
        <f t="shared" ca="1" si="4"/>
        <v>0</v>
      </c>
      <c r="DY14" s="37">
        <f t="shared" ca="1" si="4"/>
        <v>0</v>
      </c>
      <c r="DZ14" s="37">
        <f t="shared" ca="1" si="4"/>
        <v>0</v>
      </c>
      <c r="EA14" s="37">
        <f t="shared" ca="1" si="4"/>
        <v>0</v>
      </c>
      <c r="EB14" s="37">
        <f t="shared" ca="1" si="4"/>
        <v>0</v>
      </c>
      <c r="EC14" s="37">
        <f t="shared" ca="1" si="4"/>
        <v>0</v>
      </c>
      <c r="ED14" s="37">
        <f t="shared" ca="1" si="4"/>
        <v>0</v>
      </c>
      <c r="EE14" s="37">
        <f t="shared" ca="1" si="5"/>
        <v>0</v>
      </c>
      <c r="EF14" s="37">
        <f t="shared" ca="1" si="5"/>
        <v>0</v>
      </c>
      <c r="EG14" s="37">
        <f t="shared" ca="1" si="5"/>
        <v>0</v>
      </c>
      <c r="EH14" s="37">
        <f t="shared" ca="1" si="5"/>
        <v>0</v>
      </c>
      <c r="EI1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4" s="38">
        <f>IFERROR(SuiviExec[[#This Row],[PAT CA (€)]]/SuiviExec[[#This Row],[CA Vendu initial (€)]],0)</f>
        <v>1</v>
      </c>
      <c r="EK14" s="39"/>
      <c r="EL14" s="40" t="str">
        <f>IF(OR(ISBLANK(SuiviExec[[#This Row],[Budget MO (€)]]),ISBLANK(SuiviExec[[#This Row],[Budget Matériel (€)]]),ISBLANK(SuiviExec[[#This Row],[Budget ST (€)]])),"Budget non détaillé","")</f>
        <v/>
      </c>
    </row>
    <row r="15" spans="1:142" ht="15.75" x14ac:dyDescent="0.25">
      <c r="A15" s="14" t="s">
        <v>200</v>
      </c>
      <c r="B15" s="14" t="s">
        <v>201</v>
      </c>
      <c r="C15" s="14" t="s">
        <v>144</v>
      </c>
      <c r="D15" s="14" t="s">
        <v>182</v>
      </c>
      <c r="E15" s="14" t="s">
        <v>182</v>
      </c>
      <c r="F15" s="14" t="s">
        <v>146</v>
      </c>
      <c r="G15" s="15">
        <v>44197</v>
      </c>
      <c r="H15" s="16" t="s">
        <v>202</v>
      </c>
      <c r="I15" s="16" t="s">
        <v>203</v>
      </c>
      <c r="J15" s="17">
        <v>24370</v>
      </c>
      <c r="K15" s="17">
        <v>5666.5999999999985</v>
      </c>
      <c r="L15" s="18">
        <f>IFERROR(SuiviExec[[#This Row],[Marge Vendue Initiale (€)]]/SuiviExec[[#This Row],[CA Vendu initial (€)]],"")</f>
        <v>0.23252359458350425</v>
      </c>
      <c r="M15" s="17"/>
      <c r="N15" s="19">
        <v>80</v>
      </c>
      <c r="O15" s="20">
        <f>SuiviExec[[#This Row],[Budget MO Etude (€)]]+SuiviExec[[#This Row],[Budget MO Agent (heure)]]*Taux_Horaire_Agent</f>
        <v>2320</v>
      </c>
      <c r="P15" s="17">
        <v>13983.400000000001</v>
      </c>
      <c r="Q15" s="17">
        <v>2400</v>
      </c>
      <c r="R15" s="21">
        <f>SUM(SuiviExec[[#This Row],[Budget MO (€)]:[Budget ST (€)]])</f>
        <v>18703.400000000001</v>
      </c>
      <c r="S15" s="22">
        <v>44531</v>
      </c>
      <c r="T15" s="22">
        <v>44552</v>
      </c>
      <c r="U15" s="23"/>
      <c r="V15" s="24" cm="1">
        <f t="array" ref="V1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5" s="20">
        <f>IFERROR(SuiviExec[[#This Row],[Réalisé MO Etude (€)]]+SuiviExec[[#This Row],[Réalisé MO Agent (heure)]]*Taux_Horaire_Agent,0)</f>
        <v>0</v>
      </c>
      <c r="X1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5" s="21">
        <f>SUM(SuiviExec[[#This Row],[Réalisé MO (€)]:[Réalisé ST (€)]])</f>
        <v>0</v>
      </c>
      <c r="AA15" s="26">
        <v>0</v>
      </c>
      <c r="AB15" s="41"/>
      <c r="AC15" s="41">
        <v>80</v>
      </c>
      <c r="AD15" s="20">
        <f>IFERROR(SuiviExec[[#This Row],[PAT MO Etude (€)]]+SuiviExec[[#This Row],[PAT MO Agent (heure)]]*Taux_Horaire_Agent,0)</f>
        <v>2320</v>
      </c>
      <c r="AE15" s="28">
        <f>SuiviExec[[#This Row],[Budget Matériel (€)]]</f>
        <v>13983.400000000001</v>
      </c>
      <c r="AF15" s="28">
        <f>SuiviExec[[#This Row],[Budget ST (€)]]</f>
        <v>2400</v>
      </c>
      <c r="AG15" s="21">
        <f>SUM(SuiviExec[[#This Row],[PAT MO (€)]:[PAT ST (€)]])</f>
        <v>18703.400000000001</v>
      </c>
      <c r="AH15" s="28">
        <v>24370</v>
      </c>
      <c r="AI15" s="21">
        <f>SuiviExec[[#This Row],[PAT CA (€)]]-SuiviExec[[#This Row],[PAT Coût Total (€)]]</f>
        <v>5666.5999999999985</v>
      </c>
      <c r="AJ15" s="18">
        <f>IFERROR(SuiviExec[[#This Row],[PAT Marge (€)]]/SuiviExec[[#This Row],[PAT CA (€)]],"Saisir le PAT")</f>
        <v>0.23252359458350425</v>
      </c>
      <c r="AK15" s="29"/>
      <c r="AL15" s="28"/>
      <c r="AM15" s="29"/>
      <c r="AN15" s="28"/>
      <c r="AO15" s="30">
        <f>SuiviExec[[#This Row],[CA Vendu initial (€)]]*SuiviExec[[#This Row],[Avancement physique du chantier (%)]]</f>
        <v>0</v>
      </c>
      <c r="AP15" s="23">
        <v>0</v>
      </c>
      <c r="AQ15" s="20">
        <f>IF(SuiviExec[[#This Row],[Avancement physique du chantier (%)]]=0,0,SuiviExec[[#This Row],[Situation méritée (CA Produit)]]-SuiviExec[[#This Row],[Montant Facturé (€)]])</f>
        <v>0</v>
      </c>
      <c r="AR15" s="23">
        <v>0</v>
      </c>
      <c r="AS1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5" s="23">
        <v>0</v>
      </c>
      <c r="AU15" s="20">
        <f>SuiviExec[[#This Row],[Situation méritée (CA Produit)]]-SuiviExec[[#This Row],[CA Année N-1 (2020)]]</f>
        <v>0</v>
      </c>
      <c r="AV15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5" s="20">
        <f ca="1">SUM(SuiviExec[[#This Row],[Janvier 2022 CA]:[CA &gt; 2023]])</f>
        <v>0</v>
      </c>
      <c r="AX15" s="20">
        <f>SuiviExec[[#This Row],[Situation méritée (CA Produit)]]-SuiviExec[[#This Row],[CA Année N-1 (2020)]]-SuiviExec[[#This Row],[CA 2021 - Réalisé]]</f>
        <v>0</v>
      </c>
      <c r="AY15" s="23">
        <f>SuiviExec[[#This Row],[Avancement physique du chantier (%)]]*SuiviExec[[#This Row],[Budget MO (€)]]</f>
        <v>0</v>
      </c>
      <c r="AZ15" s="23">
        <f>SuiviExec[[#This Row],[Avancement physique du chantier (%)]]*SuiviExec[[#This Row],[Budget Matériel (€)]]</f>
        <v>0</v>
      </c>
      <c r="BA15" s="23">
        <f>SuiviExec[[#This Row],[Budget ST (€)]]*SuiviExec[[#This Row],[Avancement physique du chantier (%)]]</f>
        <v>0</v>
      </c>
      <c r="BB15" s="20">
        <f>SUM(SuiviExec[[#This Row],[Charges 2021 MO (€)]:[Charges 2021 ST (€)]])</f>
        <v>0</v>
      </c>
      <c r="BC15" s="31">
        <v>0</v>
      </c>
      <c r="BD15" s="42">
        <f>SuiviExec[[#This Row],[CA 2021 - Réalisé]]-SuiviExec[[#This Row],[Charges 2021 à date]]</f>
        <v>0</v>
      </c>
      <c r="BE15" s="18" t="str">
        <f>IF(SuiviExec[[#This Row],[Avancement physique du chantier (%)]]&gt;0,IFERROR(SuiviExec[[#This Row],[Marge 2021 à date]]/SuiviExec[[#This Row],[CA 2021 - Réalisé]],""),"")</f>
        <v/>
      </c>
      <c r="BF1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5" s="29"/>
      <c r="BH15" s="33">
        <f>(SuiviExec[[#This Row],[Budget MO Etude (€)]]/Taux_Horaire_Etude+SuiviExec[[#This Row],[Budget MO Agent (heure)]])</f>
        <v>80</v>
      </c>
      <c r="BI15" s="34">
        <f ca="1">SuiviExec[[#This Row],[Estimation Budget MO (heures)]]-SUM(SuiviExec[[#This Row],[MO &lt; 2021]:[MO &gt; 2023]])</f>
        <v>0</v>
      </c>
      <c r="BJ15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5" s="19">
        <f t="shared" ca="1" si="0"/>
        <v>0</v>
      </c>
      <c r="BL15" s="19">
        <f t="shared" ca="1" si="0"/>
        <v>0</v>
      </c>
      <c r="BM15" s="19">
        <f t="shared" ca="1" si="0"/>
        <v>0</v>
      </c>
      <c r="BN15" s="19">
        <f t="shared" ca="1" si="0"/>
        <v>0</v>
      </c>
      <c r="BO15" s="19">
        <f t="shared" ca="1" si="0"/>
        <v>0</v>
      </c>
      <c r="BP15" s="19">
        <f t="shared" ca="1" si="0"/>
        <v>0</v>
      </c>
      <c r="BQ15" s="19">
        <f t="shared" ca="1" si="0"/>
        <v>0</v>
      </c>
      <c r="BR15" s="19">
        <f t="shared" ca="1" si="0"/>
        <v>0</v>
      </c>
      <c r="BS15" s="19">
        <f t="shared" ca="1" si="0"/>
        <v>0</v>
      </c>
      <c r="BT15" s="19">
        <f t="shared" ca="1" si="0"/>
        <v>0</v>
      </c>
      <c r="BU15" s="19">
        <f t="shared" ca="1" si="0"/>
        <v>0</v>
      </c>
      <c r="BV15" s="19">
        <f t="shared" ca="1" si="0"/>
        <v>80</v>
      </c>
      <c r="BW15" s="19">
        <f t="shared" ca="1" si="0"/>
        <v>0</v>
      </c>
      <c r="BX15" s="19">
        <f t="shared" ca="1" si="0"/>
        <v>0</v>
      </c>
      <c r="BY15" s="19">
        <f t="shared" ca="1" si="0"/>
        <v>0</v>
      </c>
      <c r="BZ15" s="19">
        <f t="shared" ca="1" si="0"/>
        <v>0</v>
      </c>
      <c r="CA15" s="19">
        <f t="shared" ca="1" si="1"/>
        <v>0</v>
      </c>
      <c r="CB15" s="19">
        <f t="shared" ca="1" si="1"/>
        <v>0</v>
      </c>
      <c r="CC15" s="19">
        <f t="shared" ca="1" si="1"/>
        <v>0</v>
      </c>
      <c r="CD15" s="19">
        <f t="shared" ca="1" si="1"/>
        <v>0</v>
      </c>
      <c r="CE15" s="19">
        <f t="shared" ca="1" si="1"/>
        <v>0</v>
      </c>
      <c r="CF15" s="19">
        <f t="shared" ca="1" si="1"/>
        <v>0</v>
      </c>
      <c r="CG15" s="19">
        <f t="shared" ca="1" si="1"/>
        <v>0</v>
      </c>
      <c r="CH15" s="19">
        <f t="shared" ca="1" si="1"/>
        <v>0</v>
      </c>
      <c r="CI15" s="19">
        <f t="shared" ca="1" si="1"/>
        <v>0</v>
      </c>
      <c r="CJ15" s="19">
        <f t="shared" ca="1" si="1"/>
        <v>0</v>
      </c>
      <c r="CK15" s="19">
        <f t="shared" ca="1" si="1"/>
        <v>0</v>
      </c>
      <c r="CL15" s="19">
        <f t="shared" ca="1" si="1"/>
        <v>0</v>
      </c>
      <c r="CM15" s="19">
        <f t="shared" ca="1" si="1"/>
        <v>0</v>
      </c>
      <c r="CN15" s="19">
        <f t="shared" ca="1" si="1"/>
        <v>0</v>
      </c>
      <c r="CO15" s="19">
        <f t="shared" ca="1" si="1"/>
        <v>0</v>
      </c>
      <c r="CP15" s="19">
        <f t="shared" ca="1" si="1"/>
        <v>0</v>
      </c>
      <c r="CQ15" s="19">
        <f t="shared" ca="1" si="2"/>
        <v>0</v>
      </c>
      <c r="CR15" s="19">
        <f t="shared" ca="1" si="2"/>
        <v>0</v>
      </c>
      <c r="CS15" s="19">
        <f t="shared" ca="1" si="2"/>
        <v>0</v>
      </c>
      <c r="CT15" s="19">
        <f t="shared" ca="1" si="2"/>
        <v>0</v>
      </c>
      <c r="CU15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5" s="35"/>
      <c r="CW15" s="36">
        <f ca="1">SuiviExec[[#This Row],[CA Vendu initial (€)]]-SUM(SuiviExec[[#This Row],[CA &lt; 2021]:[CA &gt; 2023]])</f>
        <v>0</v>
      </c>
      <c r="CX1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5" s="37">
        <f t="shared" ca="1" si="3"/>
        <v>0</v>
      </c>
      <c r="CZ15" s="37">
        <f t="shared" ca="1" si="3"/>
        <v>0</v>
      </c>
      <c r="DA15" s="37">
        <f t="shared" ca="1" si="3"/>
        <v>0</v>
      </c>
      <c r="DB15" s="37">
        <f t="shared" ca="1" si="3"/>
        <v>0</v>
      </c>
      <c r="DC15" s="37">
        <f t="shared" ca="1" si="3"/>
        <v>0</v>
      </c>
      <c r="DD15" s="37">
        <f t="shared" ca="1" si="3"/>
        <v>0</v>
      </c>
      <c r="DE15" s="37">
        <f t="shared" ca="1" si="3"/>
        <v>0</v>
      </c>
      <c r="DF15" s="37">
        <f t="shared" ca="1" si="3"/>
        <v>0</v>
      </c>
      <c r="DG15" s="37">
        <f t="shared" ca="1" si="3"/>
        <v>0</v>
      </c>
      <c r="DH15" s="37">
        <f t="shared" ca="1" si="3"/>
        <v>0</v>
      </c>
      <c r="DI15" s="37">
        <f t="shared" ca="1" si="3"/>
        <v>0</v>
      </c>
      <c r="DJ15" s="37">
        <f t="shared" ca="1" si="3"/>
        <v>24370</v>
      </c>
      <c r="DK15" s="37">
        <f t="shared" ca="1" si="3"/>
        <v>0</v>
      </c>
      <c r="DL15" s="37">
        <f t="shared" ca="1" si="3"/>
        <v>0</v>
      </c>
      <c r="DM15" s="37">
        <f t="shared" ca="1" si="3"/>
        <v>0</v>
      </c>
      <c r="DN15" s="37">
        <f t="shared" ca="1" si="3"/>
        <v>0</v>
      </c>
      <c r="DO15" s="37">
        <f t="shared" ca="1" si="4"/>
        <v>0</v>
      </c>
      <c r="DP15" s="37">
        <f t="shared" ca="1" si="4"/>
        <v>0</v>
      </c>
      <c r="DQ15" s="37">
        <f t="shared" ca="1" si="4"/>
        <v>0</v>
      </c>
      <c r="DR15" s="37">
        <f t="shared" ca="1" si="4"/>
        <v>0</v>
      </c>
      <c r="DS15" s="37">
        <f t="shared" ca="1" si="4"/>
        <v>0</v>
      </c>
      <c r="DT15" s="37">
        <f t="shared" ca="1" si="4"/>
        <v>0</v>
      </c>
      <c r="DU15" s="37">
        <f t="shared" ca="1" si="4"/>
        <v>0</v>
      </c>
      <c r="DV15" s="37">
        <f t="shared" ca="1" si="4"/>
        <v>0</v>
      </c>
      <c r="DW15" s="37">
        <f t="shared" ca="1" si="4"/>
        <v>0</v>
      </c>
      <c r="DX15" s="37">
        <f t="shared" ca="1" si="4"/>
        <v>0</v>
      </c>
      <c r="DY15" s="37">
        <f t="shared" ca="1" si="4"/>
        <v>0</v>
      </c>
      <c r="DZ15" s="37">
        <f t="shared" ca="1" si="4"/>
        <v>0</v>
      </c>
      <c r="EA15" s="37">
        <f t="shared" ca="1" si="4"/>
        <v>0</v>
      </c>
      <c r="EB15" s="37">
        <f t="shared" ca="1" si="4"/>
        <v>0</v>
      </c>
      <c r="EC15" s="37">
        <f t="shared" ca="1" si="4"/>
        <v>0</v>
      </c>
      <c r="ED15" s="37">
        <f t="shared" ca="1" si="4"/>
        <v>0</v>
      </c>
      <c r="EE15" s="37">
        <f t="shared" ca="1" si="5"/>
        <v>0</v>
      </c>
      <c r="EF15" s="37">
        <f t="shared" ca="1" si="5"/>
        <v>0</v>
      </c>
      <c r="EG15" s="37">
        <f t="shared" ca="1" si="5"/>
        <v>0</v>
      </c>
      <c r="EH15" s="37">
        <f t="shared" ca="1" si="5"/>
        <v>0</v>
      </c>
      <c r="EI1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5" s="38">
        <f>IFERROR(SuiviExec[[#This Row],[PAT CA (€)]]/SuiviExec[[#This Row],[CA Vendu initial (€)]],0)</f>
        <v>1</v>
      </c>
      <c r="EK15" s="39"/>
      <c r="EL15" s="40" t="str">
        <f>IF(OR(ISBLANK(SuiviExec[[#This Row],[Budget MO (€)]]),ISBLANK(SuiviExec[[#This Row],[Budget Matériel (€)]]),ISBLANK(SuiviExec[[#This Row],[Budget ST (€)]])),"Budget non détaillé","")</f>
        <v/>
      </c>
    </row>
    <row r="16" spans="1:142" ht="15.75" x14ac:dyDescent="0.25">
      <c r="A16" s="14" t="s">
        <v>204</v>
      </c>
      <c r="B16" s="14" t="s">
        <v>205</v>
      </c>
      <c r="C16" s="14" t="s">
        <v>144</v>
      </c>
      <c r="D16" s="14" t="s">
        <v>174</v>
      </c>
      <c r="E16" s="14" t="s">
        <v>174</v>
      </c>
      <c r="F16" s="14" t="s">
        <v>146</v>
      </c>
      <c r="G16" s="15">
        <v>44197</v>
      </c>
      <c r="H16" s="16" t="s">
        <v>206</v>
      </c>
      <c r="I16" s="16" t="s">
        <v>207</v>
      </c>
      <c r="J16" s="17">
        <v>122425</v>
      </c>
      <c r="K16" s="17">
        <v>29172.499999999985</v>
      </c>
      <c r="L16" s="18">
        <f>IFERROR(SuiviExec[[#This Row],[Marge Vendue Initiale (€)]]/SuiviExec[[#This Row],[CA Vendu initial (€)]],"")</f>
        <v>0.23828874821319163</v>
      </c>
      <c r="M16" s="17"/>
      <c r="N16" s="19">
        <v>446</v>
      </c>
      <c r="O16" s="20">
        <f>SuiviExec[[#This Row],[Budget MO Etude (€)]]+SuiviExec[[#This Row],[Budget MO Agent (heure)]]*Taux_Horaire_Agent</f>
        <v>12934</v>
      </c>
      <c r="P16" s="17">
        <v>55718.500000000015</v>
      </c>
      <c r="Q16" s="17">
        <v>24600</v>
      </c>
      <c r="R16" s="21">
        <f>SUM(SuiviExec[[#This Row],[Budget MO (€)]:[Budget ST (€)]])</f>
        <v>93252.500000000015</v>
      </c>
      <c r="S16" s="22">
        <v>44501</v>
      </c>
      <c r="T16" s="22">
        <v>44669</v>
      </c>
      <c r="U16" s="23"/>
      <c r="V16" s="24" cm="1">
        <f t="array" ref="V16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6" s="20">
        <f>IFERROR(SuiviExec[[#This Row],[Réalisé MO Etude (€)]]+SuiviExec[[#This Row],[Réalisé MO Agent (heure)]]*Taux_Horaire_Agent,0)</f>
        <v>0</v>
      </c>
      <c r="X1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6" s="21">
        <f>SUM(SuiviExec[[#This Row],[Réalisé MO (€)]:[Réalisé ST (€)]])</f>
        <v>0</v>
      </c>
      <c r="AA16" s="26">
        <v>0</v>
      </c>
      <c r="AB16" s="41"/>
      <c r="AC16" s="41">
        <v>446</v>
      </c>
      <c r="AD16" s="20">
        <f>IFERROR(SuiviExec[[#This Row],[PAT MO Etude (€)]]+SuiviExec[[#This Row],[PAT MO Agent (heure)]]*Taux_Horaire_Agent,0)</f>
        <v>12934</v>
      </c>
      <c r="AE16" s="28">
        <f>SuiviExec[[#This Row],[Budget Matériel (€)]]</f>
        <v>55718.500000000015</v>
      </c>
      <c r="AF16" s="28">
        <f>SuiviExec[[#This Row],[Budget ST (€)]]</f>
        <v>24600</v>
      </c>
      <c r="AG16" s="21">
        <f>SUM(SuiviExec[[#This Row],[PAT MO (€)]:[PAT ST (€)]])</f>
        <v>93252.500000000015</v>
      </c>
      <c r="AH16" s="28">
        <v>122425</v>
      </c>
      <c r="AI16" s="21">
        <f>SuiviExec[[#This Row],[PAT CA (€)]]-SuiviExec[[#This Row],[PAT Coût Total (€)]]</f>
        <v>29172.499999999985</v>
      </c>
      <c r="AJ16" s="18">
        <f>IFERROR(SuiviExec[[#This Row],[PAT Marge (€)]]/SuiviExec[[#This Row],[PAT CA (€)]],"Saisir le PAT")</f>
        <v>0.23828874821319163</v>
      </c>
      <c r="AK16" s="29"/>
      <c r="AL16" s="28"/>
      <c r="AM16" s="29"/>
      <c r="AN16" s="28"/>
      <c r="AO16" s="30">
        <f>SuiviExec[[#This Row],[CA Vendu initial (€)]]*SuiviExec[[#This Row],[Avancement physique du chantier (%)]]</f>
        <v>0</v>
      </c>
      <c r="AP16" s="23">
        <v>0</v>
      </c>
      <c r="AQ16" s="20">
        <f>IF(SuiviExec[[#This Row],[Avancement physique du chantier (%)]]=0,0,SuiviExec[[#This Row],[Situation méritée (CA Produit)]]-SuiviExec[[#This Row],[Montant Facturé (€)]])</f>
        <v>0</v>
      </c>
      <c r="AR16" s="23">
        <v>0</v>
      </c>
      <c r="AS16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6" s="23">
        <v>0</v>
      </c>
      <c r="AU16" s="20">
        <f>SuiviExec[[#This Row],[Situation méritée (CA Produit)]]-SuiviExec[[#This Row],[CA Année N-1 (2020)]]</f>
        <v>0</v>
      </c>
      <c r="AV16" s="20" t="str">
        <f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/>
      </c>
      <c r="AW16" s="20">
        <f ca="1">SUM(SuiviExec[[#This Row],[Janvier 2022 CA]:[CA &gt; 2023]])</f>
        <v>81616.666666666672</v>
      </c>
      <c r="AX16" s="20">
        <f>SuiviExec[[#This Row],[Situation méritée (CA Produit)]]-SuiviExec[[#This Row],[CA Année N-1 (2020)]]-SuiviExec[[#This Row],[CA 2021 - Réalisé]]</f>
        <v>0</v>
      </c>
      <c r="AY16" s="23">
        <f>SuiviExec[[#This Row],[Avancement physique du chantier (%)]]*SuiviExec[[#This Row],[Budget MO (€)]]</f>
        <v>0</v>
      </c>
      <c r="AZ16" s="23">
        <f>SuiviExec[[#This Row],[Avancement physique du chantier (%)]]*SuiviExec[[#This Row],[Budget Matériel (€)]]</f>
        <v>0</v>
      </c>
      <c r="BA16" s="23">
        <f>SuiviExec[[#This Row],[Budget ST (€)]]*SuiviExec[[#This Row],[Avancement physique du chantier (%)]]</f>
        <v>0</v>
      </c>
      <c r="BB16" s="20">
        <f>SUM(SuiviExec[[#This Row],[Charges 2021 MO (€)]:[Charges 2021 ST (€)]])</f>
        <v>0</v>
      </c>
      <c r="BC16" s="31">
        <v>0</v>
      </c>
      <c r="BD16" s="42">
        <f>SuiviExec[[#This Row],[CA 2021 - Réalisé]]-SuiviExec[[#This Row],[Charges 2021 à date]]</f>
        <v>0</v>
      </c>
      <c r="BE16" s="18" t="str">
        <f>IF(SuiviExec[[#This Row],[Avancement physique du chantier (%)]]&gt;0,IFERROR(SuiviExec[[#This Row],[Marge 2021 à date]]/SuiviExec[[#This Row],[CA 2021 - Réalisé]],""),"")</f>
        <v/>
      </c>
      <c r="BF16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réaliser</v>
      </c>
      <c r="BG16" s="29"/>
      <c r="BH16" s="33">
        <f>(SuiviExec[[#This Row],[Budget MO Etude (€)]]/Taux_Horaire_Etude+SuiviExec[[#This Row],[Budget MO Agent (heure)]])</f>
        <v>446</v>
      </c>
      <c r="BI16" s="34">
        <f ca="1">SuiviExec[[#This Row],[Estimation Budget MO (heures)]]-SUM(SuiviExec[[#This Row],[MO &lt; 2021]:[MO &gt; 2023]])</f>
        <v>0</v>
      </c>
      <c r="BJ16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6" s="19">
        <f t="shared" ca="1" si="0"/>
        <v>0</v>
      </c>
      <c r="BL16" s="19">
        <f t="shared" ca="1" si="0"/>
        <v>0</v>
      </c>
      <c r="BM16" s="19">
        <f t="shared" ca="1" si="0"/>
        <v>0</v>
      </c>
      <c r="BN16" s="19">
        <f t="shared" ca="1" si="0"/>
        <v>0</v>
      </c>
      <c r="BO16" s="19">
        <f t="shared" ca="1" si="0"/>
        <v>0</v>
      </c>
      <c r="BP16" s="19">
        <f t="shared" ca="1" si="0"/>
        <v>0</v>
      </c>
      <c r="BQ16" s="19">
        <f t="shared" ca="1" si="0"/>
        <v>0</v>
      </c>
      <c r="BR16" s="19">
        <f t="shared" ca="1" si="0"/>
        <v>0</v>
      </c>
      <c r="BS16" s="19">
        <f t="shared" ca="1" si="0"/>
        <v>0</v>
      </c>
      <c r="BT16" s="19">
        <f t="shared" ca="1" si="0"/>
        <v>0</v>
      </c>
      <c r="BU16" s="19">
        <f t="shared" ca="1" si="0"/>
        <v>74.333333333333329</v>
      </c>
      <c r="BV16" s="19">
        <f t="shared" ca="1" si="0"/>
        <v>74.333333333333329</v>
      </c>
      <c r="BW16" s="19">
        <f t="shared" ca="1" si="0"/>
        <v>74.333333333333329</v>
      </c>
      <c r="BX16" s="19">
        <f t="shared" ca="1" si="0"/>
        <v>74.333333333333329</v>
      </c>
      <c r="BY16" s="19">
        <f t="shared" ca="1" si="0"/>
        <v>74.333333333333329</v>
      </c>
      <c r="BZ16" s="19">
        <f t="shared" ca="1" si="0"/>
        <v>74.333333333333329</v>
      </c>
      <c r="CA16" s="19">
        <f t="shared" ca="1" si="1"/>
        <v>0</v>
      </c>
      <c r="CB16" s="19">
        <f t="shared" ca="1" si="1"/>
        <v>0</v>
      </c>
      <c r="CC16" s="19">
        <f t="shared" ca="1" si="1"/>
        <v>0</v>
      </c>
      <c r="CD16" s="19">
        <f t="shared" ca="1" si="1"/>
        <v>0</v>
      </c>
      <c r="CE16" s="19">
        <f t="shared" ca="1" si="1"/>
        <v>0</v>
      </c>
      <c r="CF16" s="19">
        <f t="shared" ca="1" si="1"/>
        <v>0</v>
      </c>
      <c r="CG16" s="19">
        <f t="shared" ca="1" si="1"/>
        <v>0</v>
      </c>
      <c r="CH16" s="19">
        <f t="shared" ca="1" si="1"/>
        <v>0</v>
      </c>
      <c r="CI16" s="19">
        <f t="shared" ca="1" si="1"/>
        <v>0</v>
      </c>
      <c r="CJ16" s="19">
        <f t="shared" ca="1" si="1"/>
        <v>0</v>
      </c>
      <c r="CK16" s="19">
        <f t="shared" ca="1" si="1"/>
        <v>0</v>
      </c>
      <c r="CL16" s="19">
        <f t="shared" ca="1" si="1"/>
        <v>0</v>
      </c>
      <c r="CM16" s="19">
        <f t="shared" ca="1" si="1"/>
        <v>0</v>
      </c>
      <c r="CN16" s="19">
        <f t="shared" ca="1" si="1"/>
        <v>0</v>
      </c>
      <c r="CO16" s="19">
        <f t="shared" ca="1" si="1"/>
        <v>0</v>
      </c>
      <c r="CP16" s="19">
        <f t="shared" ca="1" si="1"/>
        <v>0</v>
      </c>
      <c r="CQ16" s="19">
        <f t="shared" ca="1" si="2"/>
        <v>0</v>
      </c>
      <c r="CR16" s="19">
        <f t="shared" ca="1" si="2"/>
        <v>0</v>
      </c>
      <c r="CS16" s="19">
        <f t="shared" ca="1" si="2"/>
        <v>0</v>
      </c>
      <c r="CT16" s="19">
        <f t="shared" ca="1" si="2"/>
        <v>0</v>
      </c>
      <c r="CU16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6" s="35"/>
      <c r="CW16" s="36">
        <f ca="1">SuiviExec[[#This Row],[CA Vendu initial (€)]]-SUM(SuiviExec[[#This Row],[CA &lt; 2021]:[CA &gt; 2023]])</f>
        <v>0</v>
      </c>
      <c r="CX16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6" s="37">
        <f t="shared" ca="1" si="3"/>
        <v>0</v>
      </c>
      <c r="CZ16" s="37">
        <f t="shared" ca="1" si="3"/>
        <v>0</v>
      </c>
      <c r="DA16" s="37">
        <f t="shared" ca="1" si="3"/>
        <v>0</v>
      </c>
      <c r="DB16" s="37">
        <f t="shared" ca="1" si="3"/>
        <v>0</v>
      </c>
      <c r="DC16" s="37">
        <f t="shared" ca="1" si="3"/>
        <v>0</v>
      </c>
      <c r="DD16" s="37">
        <f t="shared" ca="1" si="3"/>
        <v>0</v>
      </c>
      <c r="DE16" s="37">
        <f t="shared" ca="1" si="3"/>
        <v>0</v>
      </c>
      <c r="DF16" s="37">
        <f t="shared" ca="1" si="3"/>
        <v>0</v>
      </c>
      <c r="DG16" s="37">
        <f t="shared" ca="1" si="3"/>
        <v>0</v>
      </c>
      <c r="DH16" s="37">
        <f t="shared" ca="1" si="3"/>
        <v>0</v>
      </c>
      <c r="DI16" s="37">
        <f t="shared" ca="1" si="3"/>
        <v>20404.166666666668</v>
      </c>
      <c r="DJ16" s="37">
        <f t="shared" ca="1" si="3"/>
        <v>20404.166666666668</v>
      </c>
      <c r="DK16" s="37">
        <f t="shared" ca="1" si="3"/>
        <v>20404.166666666668</v>
      </c>
      <c r="DL16" s="37">
        <f t="shared" ca="1" si="3"/>
        <v>20404.166666666668</v>
      </c>
      <c r="DM16" s="37">
        <f t="shared" ca="1" si="3"/>
        <v>20404.166666666668</v>
      </c>
      <c r="DN16" s="37">
        <f t="shared" ca="1" si="3"/>
        <v>20404.166666666668</v>
      </c>
      <c r="DO16" s="37">
        <f t="shared" ca="1" si="4"/>
        <v>0</v>
      </c>
      <c r="DP16" s="37">
        <f t="shared" ca="1" si="4"/>
        <v>0</v>
      </c>
      <c r="DQ16" s="37">
        <f t="shared" ca="1" si="4"/>
        <v>0</v>
      </c>
      <c r="DR16" s="37">
        <f t="shared" ca="1" si="4"/>
        <v>0</v>
      </c>
      <c r="DS16" s="37">
        <f t="shared" ca="1" si="4"/>
        <v>0</v>
      </c>
      <c r="DT16" s="37">
        <f t="shared" ca="1" si="4"/>
        <v>0</v>
      </c>
      <c r="DU16" s="37">
        <f t="shared" ca="1" si="4"/>
        <v>0</v>
      </c>
      <c r="DV16" s="37">
        <f t="shared" ca="1" si="4"/>
        <v>0</v>
      </c>
      <c r="DW16" s="37">
        <f t="shared" ca="1" si="4"/>
        <v>0</v>
      </c>
      <c r="DX16" s="37">
        <f t="shared" ca="1" si="4"/>
        <v>0</v>
      </c>
      <c r="DY16" s="37">
        <f t="shared" ca="1" si="4"/>
        <v>0</v>
      </c>
      <c r="DZ16" s="37">
        <f t="shared" ca="1" si="4"/>
        <v>0</v>
      </c>
      <c r="EA16" s="37">
        <f t="shared" ca="1" si="4"/>
        <v>0</v>
      </c>
      <c r="EB16" s="37">
        <f t="shared" ca="1" si="4"/>
        <v>0</v>
      </c>
      <c r="EC16" s="37">
        <f t="shared" ca="1" si="4"/>
        <v>0</v>
      </c>
      <c r="ED16" s="37">
        <f t="shared" ca="1" si="4"/>
        <v>0</v>
      </c>
      <c r="EE16" s="37">
        <f t="shared" ca="1" si="5"/>
        <v>0</v>
      </c>
      <c r="EF16" s="37">
        <f t="shared" ca="1" si="5"/>
        <v>0</v>
      </c>
      <c r="EG16" s="37">
        <f t="shared" ca="1" si="5"/>
        <v>0</v>
      </c>
      <c r="EH16" s="37">
        <f t="shared" ca="1" si="5"/>
        <v>0</v>
      </c>
      <c r="EI16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6" s="38">
        <f>IFERROR(SuiviExec[[#This Row],[PAT CA (€)]]/SuiviExec[[#This Row],[CA Vendu initial (€)]],0)</f>
        <v>1</v>
      </c>
      <c r="EK16" s="39"/>
      <c r="EL16" s="40" t="str">
        <f>IF(OR(ISBLANK(SuiviExec[[#This Row],[Budget MO (€)]]),ISBLANK(SuiviExec[[#This Row],[Budget Matériel (€)]]),ISBLANK(SuiviExec[[#This Row],[Budget ST (€)]])),"Budget non détaillé","")</f>
        <v/>
      </c>
    </row>
    <row r="17" spans="1:142" ht="15.75" x14ac:dyDescent="0.25">
      <c r="A17" s="14" t="s">
        <v>208</v>
      </c>
      <c r="B17" s="14" t="s">
        <v>209</v>
      </c>
      <c r="C17" s="14" t="s">
        <v>144</v>
      </c>
      <c r="D17" s="14" t="s">
        <v>174</v>
      </c>
      <c r="E17" s="14" t="s">
        <v>174</v>
      </c>
      <c r="F17" s="14" t="s">
        <v>146</v>
      </c>
      <c r="G17" s="15">
        <v>44197</v>
      </c>
      <c r="H17" s="16" t="s">
        <v>210</v>
      </c>
      <c r="I17" s="16" t="s">
        <v>211</v>
      </c>
      <c r="J17" s="17">
        <v>53900</v>
      </c>
      <c r="K17" s="17">
        <v>6580</v>
      </c>
      <c r="L17" s="18">
        <f>IFERROR(SuiviExec[[#This Row],[Marge Vendue Initiale (€)]]/SuiviExec[[#This Row],[CA Vendu initial (€)]],"")</f>
        <v>0.12207792207792208</v>
      </c>
      <c r="M17" s="17"/>
      <c r="N17" s="19">
        <v>80</v>
      </c>
      <c r="O17" s="20">
        <f>SuiviExec[[#This Row],[Budget MO Etude (€)]]+SuiviExec[[#This Row],[Budget MO Agent (heure)]]*Taux_Horaire_Agent</f>
        <v>2320</v>
      </c>
      <c r="P17" s="17">
        <v>30000</v>
      </c>
      <c r="Q17" s="17">
        <v>15000</v>
      </c>
      <c r="R17" s="21">
        <f>SUM(SuiviExec[[#This Row],[Budget MO (€)]:[Budget ST (€)]])</f>
        <v>47320</v>
      </c>
      <c r="S17" s="22">
        <v>44470</v>
      </c>
      <c r="T17" s="22">
        <v>44624</v>
      </c>
      <c r="U17" s="23"/>
      <c r="V17" s="24" cm="1">
        <f t="array" ref="V17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7" s="20">
        <f>IFERROR(SuiviExec[[#This Row],[Réalisé MO Etude (€)]]+SuiviExec[[#This Row],[Réalisé MO Agent (heure)]]*Taux_Horaire_Agent,0)</f>
        <v>0</v>
      </c>
      <c r="X1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7" s="21">
        <f>SUM(SuiviExec[[#This Row],[Réalisé MO (€)]:[Réalisé ST (€)]])</f>
        <v>0</v>
      </c>
      <c r="AA17" s="26">
        <v>0.12</v>
      </c>
      <c r="AB17" s="41"/>
      <c r="AC17" s="41">
        <v>80</v>
      </c>
      <c r="AD17" s="20">
        <f>IFERROR(SuiviExec[[#This Row],[PAT MO Etude (€)]]+SuiviExec[[#This Row],[PAT MO Agent (heure)]]*Taux_Horaire_Agent,0)</f>
        <v>2320</v>
      </c>
      <c r="AE17" s="28">
        <f>SuiviExec[[#This Row],[Budget Matériel (€)]]</f>
        <v>30000</v>
      </c>
      <c r="AF17" s="28">
        <f>SuiviExec[[#This Row],[Budget ST (€)]]</f>
        <v>15000</v>
      </c>
      <c r="AG17" s="21">
        <f>SUM(SuiviExec[[#This Row],[PAT MO (€)]:[PAT ST (€)]])</f>
        <v>47320</v>
      </c>
      <c r="AH17" s="28">
        <v>53900</v>
      </c>
      <c r="AI17" s="21">
        <f>SuiviExec[[#This Row],[PAT CA (€)]]-SuiviExec[[#This Row],[PAT Coût Total (€)]]</f>
        <v>6580</v>
      </c>
      <c r="AJ17" s="18">
        <f>IFERROR(SuiviExec[[#This Row],[PAT Marge (€)]]/SuiviExec[[#This Row],[PAT CA (€)]],"Saisir le PAT")</f>
        <v>0.12207792207792208</v>
      </c>
      <c r="AK17" s="29" t="s">
        <v>212</v>
      </c>
      <c r="AL17" s="28">
        <v>3266.98</v>
      </c>
      <c r="AM17" s="29"/>
      <c r="AN17" s="28"/>
      <c r="AO17" s="30">
        <f>SuiviExec[[#This Row],[CA Vendu initial (€)]]*SuiviExec[[#This Row],[Avancement physique du chantier (%)]]</f>
        <v>6468</v>
      </c>
      <c r="AP17" s="23">
        <v>0</v>
      </c>
      <c r="AQ17" s="20">
        <f>IF(SuiviExec[[#This Row],[Avancement physique du chantier (%)]]=0,0,SuiviExec[[#This Row],[Situation méritée (CA Produit)]]-SuiviExec[[#This Row],[Montant Facturé (€)]])</f>
        <v>6468</v>
      </c>
      <c r="AR17" s="23">
        <v>0</v>
      </c>
      <c r="AS17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7" s="23">
        <v>0</v>
      </c>
      <c r="AU17" s="20">
        <f>SuiviExec[[#This Row],[Situation méritée (CA Produit)]]-SuiviExec[[#This Row],[CA Année N-1 (2020)]]</f>
        <v>6468</v>
      </c>
      <c r="AV17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-5001.8036425127866</v>
      </c>
      <c r="AW17" s="20">
        <f ca="1">SUM(SuiviExec[[#This Row],[Janvier 2022 CA]:[CA &gt; 2023]])</f>
        <v>26950</v>
      </c>
      <c r="AX17" s="20">
        <f>SuiviExec[[#This Row],[Situation méritée (CA Produit)]]-SuiviExec[[#This Row],[CA Année N-1 (2020)]]-SuiviExec[[#This Row],[CA 2021 - Réalisé]]</f>
        <v>0</v>
      </c>
      <c r="AY17" s="23">
        <f>SuiviExec[[#This Row],[Avancement physique du chantier (%)]]*SuiviExec[[#This Row],[Budget MO (€)]]</f>
        <v>278.39999999999998</v>
      </c>
      <c r="AZ17" s="23">
        <f>SuiviExec[[#This Row],[Avancement physique du chantier (%)]]*SuiviExec[[#This Row],[Budget Matériel (€)]]</f>
        <v>3600</v>
      </c>
      <c r="BA17" s="23">
        <f>SuiviExec[[#This Row],[Budget ST (€)]]*SuiviExec[[#This Row],[Avancement physique du chantier (%)]]</f>
        <v>1800</v>
      </c>
      <c r="BB17" s="20">
        <f>SUM(SuiviExec[[#This Row],[Charges 2021 MO (€)]:[Charges 2021 ST (€)]])</f>
        <v>5678.4</v>
      </c>
      <c r="BC17" s="31">
        <v>0</v>
      </c>
      <c r="BD17" s="42">
        <f>SuiviExec[[#This Row],[CA 2021 - Réalisé]]-SuiviExec[[#This Row],[Charges 2021 à date]]</f>
        <v>789.60000000000036</v>
      </c>
      <c r="BE17" s="18">
        <f>IF(SuiviExec[[#This Row],[Avancement physique du chantier (%)]]&gt;0,IFERROR(SuiviExec[[#This Row],[Marge 2021 à date]]/SuiviExec[[#This Row],[CA 2021 - Réalisé]],""),"")</f>
        <v>0.12207792207792213</v>
      </c>
      <c r="BF17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17" s="29"/>
      <c r="BH17" s="33">
        <f>(SuiviExec[[#This Row],[Budget MO Etude (€)]]/Taux_Horaire_Etude+SuiviExec[[#This Row],[Budget MO Agent (heure)]])</f>
        <v>80</v>
      </c>
      <c r="BI17" s="34">
        <f ca="1">SuiviExec[[#This Row],[Estimation Budget MO (heures)]]-SUM(SuiviExec[[#This Row],[MO &lt; 2021]:[MO &gt; 2023]])</f>
        <v>0</v>
      </c>
      <c r="BJ17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7" s="19">
        <f t="shared" ca="1" si="0"/>
        <v>0</v>
      </c>
      <c r="BL17" s="19">
        <f t="shared" ca="1" si="0"/>
        <v>0</v>
      </c>
      <c r="BM17" s="19">
        <f t="shared" ca="1" si="0"/>
        <v>0</v>
      </c>
      <c r="BN17" s="19">
        <f t="shared" ca="1" si="0"/>
        <v>0</v>
      </c>
      <c r="BO17" s="19">
        <f t="shared" ca="1" si="0"/>
        <v>0</v>
      </c>
      <c r="BP17" s="19">
        <f t="shared" ca="1" si="0"/>
        <v>0</v>
      </c>
      <c r="BQ17" s="19">
        <f t="shared" ca="1" si="0"/>
        <v>0</v>
      </c>
      <c r="BR17" s="19">
        <f t="shared" ca="1" si="0"/>
        <v>0</v>
      </c>
      <c r="BS17" s="19">
        <f t="shared" ca="1" si="0"/>
        <v>0</v>
      </c>
      <c r="BT17" s="19">
        <f t="shared" ca="1" si="0"/>
        <v>13.333333333333334</v>
      </c>
      <c r="BU17" s="19">
        <f t="shared" ca="1" si="0"/>
        <v>13.333333333333334</v>
      </c>
      <c r="BV17" s="19">
        <f t="shared" ca="1" si="0"/>
        <v>13.333333333333334</v>
      </c>
      <c r="BW17" s="19">
        <f t="shared" ca="1" si="0"/>
        <v>13.333333333333334</v>
      </c>
      <c r="BX17" s="19">
        <f t="shared" ca="1" si="0"/>
        <v>13.333333333333334</v>
      </c>
      <c r="BY17" s="19">
        <f t="shared" ca="1" si="0"/>
        <v>13.333333333333334</v>
      </c>
      <c r="BZ17" s="19">
        <f t="shared" ref="BZ17:CO32" ca="1" si="6">IF(AND(OR(AND(MONTH($T17)&lt;=MONTH(BZ$3),YEAR($T17)=YEAR(BZ$3)),YEAR($T17)&lt;YEAR(BZ$3)),OR(AND(MONTH($U17)&gt;=MONTH(BZ$3),YEAR($U17)=YEAR(BZ$3)),,YEAR($U17)&gt;YEAR(BZ$3))),$BI17/(
1+MONTH($U17)-MONTH($T17)+12*(YEAR($U17)-YEAR($T17))),0)</f>
        <v>0</v>
      </c>
      <c r="CA17" s="19">
        <f t="shared" ca="1" si="6"/>
        <v>0</v>
      </c>
      <c r="CB17" s="19">
        <f t="shared" ca="1" si="6"/>
        <v>0</v>
      </c>
      <c r="CC17" s="19">
        <f t="shared" ca="1" si="6"/>
        <v>0</v>
      </c>
      <c r="CD17" s="19">
        <f t="shared" ca="1" si="6"/>
        <v>0</v>
      </c>
      <c r="CE17" s="19">
        <f t="shared" ca="1" si="1"/>
        <v>0</v>
      </c>
      <c r="CF17" s="19">
        <f t="shared" ca="1" si="1"/>
        <v>0</v>
      </c>
      <c r="CG17" s="19">
        <f t="shared" ca="1" si="1"/>
        <v>0</v>
      </c>
      <c r="CH17" s="19">
        <f t="shared" ca="1" si="1"/>
        <v>0</v>
      </c>
      <c r="CI17" s="19">
        <f t="shared" ca="1" si="1"/>
        <v>0</v>
      </c>
      <c r="CJ17" s="19">
        <f t="shared" ca="1" si="1"/>
        <v>0</v>
      </c>
      <c r="CK17" s="19">
        <f t="shared" ca="1" si="1"/>
        <v>0</v>
      </c>
      <c r="CL17" s="19">
        <f t="shared" ca="1" si="1"/>
        <v>0</v>
      </c>
      <c r="CM17" s="19">
        <f t="shared" ca="1" si="1"/>
        <v>0</v>
      </c>
      <c r="CN17" s="19">
        <f t="shared" ca="1" si="1"/>
        <v>0</v>
      </c>
      <c r="CO17" s="19">
        <f t="shared" ca="1" si="1"/>
        <v>0</v>
      </c>
      <c r="CP17" s="19">
        <f t="shared" ca="1" si="1"/>
        <v>0</v>
      </c>
      <c r="CQ17" s="19">
        <f t="shared" ca="1" si="2"/>
        <v>0</v>
      </c>
      <c r="CR17" s="19">
        <f t="shared" ca="1" si="2"/>
        <v>0</v>
      </c>
      <c r="CS17" s="19">
        <f t="shared" ca="1" si="2"/>
        <v>0</v>
      </c>
      <c r="CT17" s="19">
        <f t="shared" ca="1" si="2"/>
        <v>0</v>
      </c>
      <c r="CU17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7" s="35"/>
      <c r="CW17" s="36">
        <f ca="1">SuiviExec[[#This Row],[CA Vendu initial (€)]]-SUM(SuiviExec[[#This Row],[CA &lt; 2021]:[CA &gt; 2023]])</f>
        <v>0</v>
      </c>
      <c r="CX17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7" s="37">
        <f t="shared" ca="1" si="3"/>
        <v>0</v>
      </c>
      <c r="CZ17" s="37">
        <f t="shared" ca="1" si="3"/>
        <v>0</v>
      </c>
      <c r="DA17" s="37">
        <f t="shared" ca="1" si="3"/>
        <v>0</v>
      </c>
      <c r="DB17" s="37">
        <f t="shared" ca="1" si="3"/>
        <v>0</v>
      </c>
      <c r="DC17" s="37">
        <f t="shared" ca="1" si="3"/>
        <v>0</v>
      </c>
      <c r="DD17" s="37">
        <f t="shared" ca="1" si="3"/>
        <v>0</v>
      </c>
      <c r="DE17" s="37">
        <f t="shared" ca="1" si="3"/>
        <v>0</v>
      </c>
      <c r="DF17" s="37">
        <f t="shared" ca="1" si="3"/>
        <v>0</v>
      </c>
      <c r="DG17" s="37">
        <f t="shared" ca="1" si="3"/>
        <v>0</v>
      </c>
      <c r="DH17" s="37">
        <f t="shared" ca="1" si="3"/>
        <v>8983.3333333333339</v>
      </c>
      <c r="DI17" s="37">
        <f t="shared" ca="1" si="3"/>
        <v>8983.3333333333339</v>
      </c>
      <c r="DJ17" s="37">
        <f t="shared" ca="1" si="3"/>
        <v>8983.3333333333339</v>
      </c>
      <c r="DK17" s="37">
        <f t="shared" ca="1" si="3"/>
        <v>8983.3333333333339</v>
      </c>
      <c r="DL17" s="37">
        <f t="shared" ca="1" si="3"/>
        <v>8983.3333333333339</v>
      </c>
      <c r="DM17" s="37">
        <f t="shared" ca="1" si="3"/>
        <v>8983.3333333333339</v>
      </c>
      <c r="DN17" s="37">
        <f t="shared" ref="DN17:EC32" ca="1" si="7">IF(AND(OR(AND(MONTH($T17)&lt;=MONTH(DN$3),YEAR($T17)=YEAR(DN$3)),YEAR($T17)&lt;YEAR(DN$3)),OR(AND(MONTH($U17)&gt;=MONTH(DN$3),YEAR($U17)=YEAR(DN$3)),,YEAR($U17)&gt;YEAR(DN$3))),
$K17/(1+MONTH($U17)-MONTH($T17)+12*(YEAR($U17)-YEAR($T17))),0)</f>
        <v>0</v>
      </c>
      <c r="DO17" s="37">
        <f t="shared" ca="1" si="7"/>
        <v>0</v>
      </c>
      <c r="DP17" s="37">
        <f t="shared" ca="1" si="7"/>
        <v>0</v>
      </c>
      <c r="DQ17" s="37">
        <f t="shared" ca="1" si="7"/>
        <v>0</v>
      </c>
      <c r="DR17" s="37">
        <f t="shared" ca="1" si="7"/>
        <v>0</v>
      </c>
      <c r="DS17" s="37">
        <f t="shared" ca="1" si="4"/>
        <v>0</v>
      </c>
      <c r="DT17" s="37">
        <f t="shared" ca="1" si="4"/>
        <v>0</v>
      </c>
      <c r="DU17" s="37">
        <f t="shared" ca="1" si="4"/>
        <v>0</v>
      </c>
      <c r="DV17" s="37">
        <f t="shared" ca="1" si="4"/>
        <v>0</v>
      </c>
      <c r="DW17" s="37">
        <f t="shared" ca="1" si="4"/>
        <v>0</v>
      </c>
      <c r="DX17" s="37">
        <f t="shared" ca="1" si="4"/>
        <v>0</v>
      </c>
      <c r="DY17" s="37">
        <f t="shared" ca="1" si="4"/>
        <v>0</v>
      </c>
      <c r="DZ17" s="37">
        <f t="shared" ca="1" si="4"/>
        <v>0</v>
      </c>
      <c r="EA17" s="37">
        <f t="shared" ca="1" si="4"/>
        <v>0</v>
      </c>
      <c r="EB17" s="37">
        <f t="shared" ca="1" si="4"/>
        <v>0</v>
      </c>
      <c r="EC17" s="37">
        <f t="shared" ca="1" si="4"/>
        <v>0</v>
      </c>
      <c r="ED17" s="37">
        <f t="shared" ca="1" si="4"/>
        <v>0</v>
      </c>
      <c r="EE17" s="37">
        <f t="shared" ca="1" si="5"/>
        <v>0</v>
      </c>
      <c r="EF17" s="37">
        <f t="shared" ca="1" si="5"/>
        <v>0</v>
      </c>
      <c r="EG17" s="37">
        <f t="shared" ca="1" si="5"/>
        <v>0</v>
      </c>
      <c r="EH17" s="37">
        <f t="shared" ca="1" si="5"/>
        <v>0</v>
      </c>
      <c r="EI17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7" s="38">
        <f>IFERROR(SuiviExec[[#This Row],[PAT CA (€)]]/SuiviExec[[#This Row],[CA Vendu initial (€)]],0)</f>
        <v>1</v>
      </c>
      <c r="EK17" s="39"/>
      <c r="EL17" s="40" t="str">
        <f>IF(OR(ISBLANK(SuiviExec[[#This Row],[Budget MO (€)]]),ISBLANK(SuiviExec[[#This Row],[Budget Matériel (€)]]),ISBLANK(SuiviExec[[#This Row],[Budget ST (€)]])),"Budget non détaillé","")</f>
        <v/>
      </c>
    </row>
    <row r="18" spans="1:142" ht="15.75" x14ac:dyDescent="0.25">
      <c r="A18" s="14" t="s">
        <v>213</v>
      </c>
      <c r="B18" s="14" t="s">
        <v>169</v>
      </c>
      <c r="C18" s="14" t="s">
        <v>144</v>
      </c>
      <c r="D18" s="14" t="s">
        <v>144</v>
      </c>
      <c r="E18" s="14" t="s">
        <v>214</v>
      </c>
      <c r="F18" s="14" t="s">
        <v>146</v>
      </c>
      <c r="G18" s="15">
        <v>44197</v>
      </c>
      <c r="H18" s="16" t="s">
        <v>215</v>
      </c>
      <c r="I18" s="16" t="s">
        <v>216</v>
      </c>
      <c r="J18" s="17">
        <v>21000</v>
      </c>
      <c r="K18" s="17">
        <v>8691</v>
      </c>
      <c r="L18" s="18">
        <f>IFERROR(SuiviExec[[#This Row],[Marge Vendue Initiale (€)]]/SuiviExec[[#This Row],[CA Vendu initial (€)]],"")</f>
        <v>0.41385714285714287</v>
      </c>
      <c r="M18" s="17"/>
      <c r="N18" s="19">
        <v>255</v>
      </c>
      <c r="O18" s="20">
        <f>SuiviExec[[#This Row],[Budget MO Etude (€)]]+SuiviExec[[#This Row],[Budget MO Agent (heure)]]*Taux_Horaire_Agent</f>
        <v>7395</v>
      </c>
      <c r="P18" s="17">
        <v>4914</v>
      </c>
      <c r="Q18" s="17">
        <v>0</v>
      </c>
      <c r="R18" s="21">
        <f>SUM(SuiviExec[[#This Row],[Budget MO (€)]:[Budget ST (€)]])</f>
        <v>12309</v>
      </c>
      <c r="S18" s="22">
        <v>44348</v>
      </c>
      <c r="T18" s="22">
        <v>44572</v>
      </c>
      <c r="U18" s="23"/>
      <c r="V18" s="24" cm="1">
        <f t="array" ref="V18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8" s="20">
        <f>IFERROR(SuiviExec[[#This Row],[Réalisé MO Etude (€)]]+SuiviExec[[#This Row],[Réalisé MO Agent (heure)]]*Taux_Horaire_Agent,0)</f>
        <v>0</v>
      </c>
      <c r="X1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8" s="21">
        <f>SUM(SuiviExec[[#This Row],[Réalisé MO (€)]:[Réalisé ST (€)]])</f>
        <v>0</v>
      </c>
      <c r="AA18" s="26">
        <v>0.2</v>
      </c>
      <c r="AB18" s="41"/>
      <c r="AC18" s="41">
        <v>255</v>
      </c>
      <c r="AD18" s="20">
        <f>IFERROR(SuiviExec[[#This Row],[PAT MO Etude (€)]]+SuiviExec[[#This Row],[PAT MO Agent (heure)]]*Taux_Horaire_Agent,0)</f>
        <v>7395</v>
      </c>
      <c r="AE18" s="28">
        <f>SuiviExec[[#This Row],[Budget Matériel (€)]]</f>
        <v>4914</v>
      </c>
      <c r="AF18" s="28">
        <f>SuiviExec[[#This Row],[Budget ST (€)]]</f>
        <v>0</v>
      </c>
      <c r="AG18" s="21">
        <f>SUM(SuiviExec[[#This Row],[PAT MO (€)]:[PAT ST (€)]])</f>
        <v>12309</v>
      </c>
      <c r="AH18" s="28">
        <v>21000</v>
      </c>
      <c r="AI18" s="21">
        <f>SuiviExec[[#This Row],[PAT CA (€)]]-SuiviExec[[#This Row],[PAT Coût Total (€)]]</f>
        <v>8691</v>
      </c>
      <c r="AJ18" s="18">
        <f>IFERROR(SuiviExec[[#This Row],[PAT Marge (€)]]/SuiviExec[[#This Row],[PAT CA (€)]],"Saisir le PAT")</f>
        <v>0.41385714285714287</v>
      </c>
      <c r="AK18" s="29"/>
      <c r="AL18" s="28"/>
      <c r="AM18" s="29"/>
      <c r="AN18" s="28"/>
      <c r="AO18" s="30">
        <f>SuiviExec[[#This Row],[CA Vendu initial (€)]]*SuiviExec[[#This Row],[Avancement physique du chantier (%)]]</f>
        <v>4200</v>
      </c>
      <c r="AP18" s="23">
        <v>0</v>
      </c>
      <c r="AQ18" s="20">
        <f>IF(SuiviExec[[#This Row],[Avancement physique du chantier (%)]]=0,0,SuiviExec[[#This Row],[Situation méritée (CA Produit)]]-SuiviExec[[#This Row],[Montant Facturé (€)]])</f>
        <v>4200</v>
      </c>
      <c r="AR18" s="23">
        <v>0</v>
      </c>
      <c r="AS18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8" s="23">
        <v>0</v>
      </c>
      <c r="AU18" s="20">
        <f>SuiviExec[[#This Row],[Situation méritée (CA Produit)]]-SuiviExec[[#This Row],[CA Année N-1 (2020)]]</f>
        <v>4200</v>
      </c>
      <c r="AV18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22393.406609768957</v>
      </c>
      <c r="AW18" s="20">
        <f ca="1">SUM(SuiviExec[[#This Row],[Janvier 2022 CA]:[CA &gt; 2023]])</f>
        <v>2625</v>
      </c>
      <c r="AX18" s="20">
        <f>SuiviExec[[#This Row],[Situation méritée (CA Produit)]]-SuiviExec[[#This Row],[CA Année N-1 (2020)]]-SuiviExec[[#This Row],[CA 2021 - Réalisé]]</f>
        <v>0</v>
      </c>
      <c r="AY18" s="23">
        <f>SuiviExec[[#This Row],[Avancement physique du chantier (%)]]*SuiviExec[[#This Row],[Budget MO (€)]]</f>
        <v>1479</v>
      </c>
      <c r="AZ18" s="23">
        <f>SuiviExec[[#This Row],[Avancement physique du chantier (%)]]*SuiviExec[[#This Row],[Budget Matériel (€)]]</f>
        <v>982.80000000000007</v>
      </c>
      <c r="BA18" s="23">
        <f>SuiviExec[[#This Row],[Budget ST (€)]]*SuiviExec[[#This Row],[Avancement physique du chantier (%)]]</f>
        <v>0</v>
      </c>
      <c r="BB18" s="20">
        <f>SUM(SuiviExec[[#This Row],[Charges 2021 MO (€)]:[Charges 2021 ST (€)]])</f>
        <v>2461.8000000000002</v>
      </c>
      <c r="BC18" s="31">
        <v>0</v>
      </c>
      <c r="BD18" s="42">
        <f>SuiviExec[[#This Row],[CA 2021 - Réalisé]]-SuiviExec[[#This Row],[Charges 2021 à date]]</f>
        <v>1738.1999999999998</v>
      </c>
      <c r="BE18" s="18">
        <f>IF(SuiviExec[[#This Row],[Avancement physique du chantier (%)]]&gt;0,IFERROR(SuiviExec[[#This Row],[Marge 2021 à date]]/SuiviExec[[#This Row],[CA 2021 - Réalisé]],""),"")</f>
        <v>0.41385714285714281</v>
      </c>
      <c r="BF18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18" s="29"/>
      <c r="BH18" s="33">
        <f>(SuiviExec[[#This Row],[Budget MO Etude (€)]]/Taux_Horaire_Etude+SuiviExec[[#This Row],[Budget MO Agent (heure)]])</f>
        <v>255</v>
      </c>
      <c r="BI18" s="34">
        <f ca="1">SuiviExec[[#This Row],[Estimation Budget MO (heures)]]-SUM(SuiviExec[[#This Row],[MO &lt; 2021]:[MO &gt; 2023]])</f>
        <v>0</v>
      </c>
      <c r="BJ18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8" s="19">
        <f t="shared" ref="BK18:BZ33" ca="1" si="8">IF(AND(OR(AND(MONTH($T18)&lt;=MONTH(BK$3),YEAR($T18)=YEAR(BK$3)),YEAR($T18)&lt;YEAR(BK$3)),OR(AND(MONTH($U18)&gt;=MONTH(BK$3),YEAR($U18)=YEAR(BK$3)),,YEAR($U18)&gt;YEAR(BK$3))),$BI18/(
1+MONTH($U18)-MONTH($T18)+12*(YEAR($U18)-YEAR($T18))),0)</f>
        <v>0</v>
      </c>
      <c r="BL18" s="19">
        <f t="shared" ca="1" si="8"/>
        <v>0</v>
      </c>
      <c r="BM18" s="19">
        <f t="shared" ca="1" si="8"/>
        <v>0</v>
      </c>
      <c r="BN18" s="19">
        <f t="shared" ca="1" si="8"/>
        <v>0</v>
      </c>
      <c r="BO18" s="19">
        <f t="shared" ca="1" si="8"/>
        <v>0</v>
      </c>
      <c r="BP18" s="19">
        <f t="shared" ca="1" si="8"/>
        <v>31.875</v>
      </c>
      <c r="BQ18" s="19">
        <f t="shared" ca="1" si="8"/>
        <v>31.875</v>
      </c>
      <c r="BR18" s="19">
        <f t="shared" ca="1" si="8"/>
        <v>31.875</v>
      </c>
      <c r="BS18" s="19">
        <f t="shared" ca="1" si="8"/>
        <v>31.875</v>
      </c>
      <c r="BT18" s="19">
        <f t="shared" ca="1" si="8"/>
        <v>31.875</v>
      </c>
      <c r="BU18" s="19">
        <f t="shared" ca="1" si="8"/>
        <v>31.875</v>
      </c>
      <c r="BV18" s="19">
        <f t="shared" ca="1" si="8"/>
        <v>31.875</v>
      </c>
      <c r="BW18" s="19">
        <f t="shared" ca="1" si="8"/>
        <v>31.875</v>
      </c>
      <c r="BX18" s="19">
        <f t="shared" ca="1" si="8"/>
        <v>0</v>
      </c>
      <c r="BY18" s="19">
        <f t="shared" ca="1" si="8"/>
        <v>0</v>
      </c>
      <c r="BZ18" s="19">
        <f t="shared" ca="1" si="8"/>
        <v>0</v>
      </c>
      <c r="CA18" s="19">
        <f t="shared" ca="1" si="6"/>
        <v>0</v>
      </c>
      <c r="CB18" s="19">
        <f t="shared" ca="1" si="6"/>
        <v>0</v>
      </c>
      <c r="CC18" s="19">
        <f t="shared" ca="1" si="6"/>
        <v>0</v>
      </c>
      <c r="CD18" s="19">
        <f t="shared" ca="1" si="6"/>
        <v>0</v>
      </c>
      <c r="CE18" s="19">
        <f t="shared" ca="1" si="6"/>
        <v>0</v>
      </c>
      <c r="CF18" s="19">
        <f t="shared" ca="1" si="6"/>
        <v>0</v>
      </c>
      <c r="CG18" s="19">
        <f t="shared" ca="1" si="6"/>
        <v>0</v>
      </c>
      <c r="CH18" s="19">
        <f t="shared" ca="1" si="6"/>
        <v>0</v>
      </c>
      <c r="CI18" s="19">
        <f t="shared" ca="1" si="6"/>
        <v>0</v>
      </c>
      <c r="CJ18" s="19">
        <f t="shared" ca="1" si="6"/>
        <v>0</v>
      </c>
      <c r="CK18" s="19">
        <f t="shared" ca="1" si="6"/>
        <v>0</v>
      </c>
      <c r="CL18" s="19">
        <f t="shared" ca="1" si="6"/>
        <v>0</v>
      </c>
      <c r="CM18" s="19">
        <f t="shared" ca="1" si="6"/>
        <v>0</v>
      </c>
      <c r="CN18" s="19">
        <f t="shared" ca="1" si="6"/>
        <v>0</v>
      </c>
      <c r="CO18" s="19">
        <f t="shared" ca="1" si="6"/>
        <v>0</v>
      </c>
      <c r="CP18" s="19">
        <f t="shared" ref="CP18:CT33" ca="1" si="9">IF(AND(OR(AND(MONTH($T18)&lt;=MONTH(CP$3),YEAR($T18)=YEAR(CP$3)),YEAR($T18)&lt;YEAR(CP$3)),OR(AND(MONTH($U18)&gt;=MONTH(CP$3),YEAR($U18)=YEAR(CP$3)),,YEAR($U18)&gt;YEAR(CP$3))),$BI18/(
1+MONTH($U18)-MONTH($T18)+12*(YEAR($U18)-YEAR($T18))),0)</f>
        <v>0</v>
      </c>
      <c r="CQ18" s="19">
        <f t="shared" ca="1" si="9"/>
        <v>0</v>
      </c>
      <c r="CR18" s="19">
        <f t="shared" ca="1" si="9"/>
        <v>0</v>
      </c>
      <c r="CS18" s="19">
        <f t="shared" ca="1" si="9"/>
        <v>0</v>
      </c>
      <c r="CT18" s="19">
        <f t="shared" ca="1" si="9"/>
        <v>0</v>
      </c>
      <c r="CU18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8" s="35"/>
      <c r="CW18" s="36">
        <f ca="1">SuiviExec[[#This Row],[CA Vendu initial (€)]]-SUM(SuiviExec[[#This Row],[CA &lt; 2021]:[CA &gt; 2023]])</f>
        <v>0</v>
      </c>
      <c r="CX18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8" s="37">
        <f t="shared" ref="CY18:DN33" ca="1" si="10">IF(AND(OR(AND(MONTH($T18)&lt;=MONTH(CY$3),YEAR($T18)=YEAR(CY$3)),YEAR($T18)&lt;YEAR(CY$3)),OR(AND(MONTH($U18)&gt;=MONTH(CY$3),YEAR($U18)=YEAR(CY$3)),,YEAR($U18)&gt;YEAR(CY$3))),
$K18/(1+MONTH($U18)-MONTH($T18)+12*(YEAR($U18)-YEAR($T18))),0)</f>
        <v>0</v>
      </c>
      <c r="CZ18" s="37">
        <f t="shared" ca="1" si="10"/>
        <v>0</v>
      </c>
      <c r="DA18" s="37">
        <f t="shared" ca="1" si="10"/>
        <v>0</v>
      </c>
      <c r="DB18" s="37">
        <f t="shared" ca="1" si="10"/>
        <v>0</v>
      </c>
      <c r="DC18" s="37">
        <f t="shared" ca="1" si="10"/>
        <v>0</v>
      </c>
      <c r="DD18" s="37">
        <f t="shared" ca="1" si="10"/>
        <v>2625</v>
      </c>
      <c r="DE18" s="37">
        <f t="shared" ca="1" si="10"/>
        <v>2625</v>
      </c>
      <c r="DF18" s="37">
        <f t="shared" ca="1" si="10"/>
        <v>2625</v>
      </c>
      <c r="DG18" s="37">
        <f t="shared" ca="1" si="10"/>
        <v>2625</v>
      </c>
      <c r="DH18" s="37">
        <f t="shared" ca="1" si="10"/>
        <v>2625</v>
      </c>
      <c r="DI18" s="37">
        <f t="shared" ca="1" si="10"/>
        <v>2625</v>
      </c>
      <c r="DJ18" s="37">
        <f t="shared" ca="1" si="10"/>
        <v>2625</v>
      </c>
      <c r="DK18" s="37">
        <f t="shared" ca="1" si="10"/>
        <v>2625</v>
      </c>
      <c r="DL18" s="37">
        <f t="shared" ca="1" si="10"/>
        <v>0</v>
      </c>
      <c r="DM18" s="37">
        <f t="shared" ca="1" si="10"/>
        <v>0</v>
      </c>
      <c r="DN18" s="37">
        <f t="shared" ca="1" si="10"/>
        <v>0</v>
      </c>
      <c r="DO18" s="37">
        <f t="shared" ca="1" si="7"/>
        <v>0</v>
      </c>
      <c r="DP18" s="37">
        <f t="shared" ca="1" si="7"/>
        <v>0</v>
      </c>
      <c r="DQ18" s="37">
        <f t="shared" ca="1" si="7"/>
        <v>0</v>
      </c>
      <c r="DR18" s="37">
        <f t="shared" ca="1" si="7"/>
        <v>0</v>
      </c>
      <c r="DS18" s="37">
        <f t="shared" ca="1" si="7"/>
        <v>0</v>
      </c>
      <c r="DT18" s="37">
        <f t="shared" ca="1" si="7"/>
        <v>0</v>
      </c>
      <c r="DU18" s="37">
        <f t="shared" ca="1" si="7"/>
        <v>0</v>
      </c>
      <c r="DV18" s="37">
        <f t="shared" ca="1" si="7"/>
        <v>0</v>
      </c>
      <c r="DW18" s="37">
        <f t="shared" ca="1" si="7"/>
        <v>0</v>
      </c>
      <c r="DX18" s="37">
        <f t="shared" ca="1" si="7"/>
        <v>0</v>
      </c>
      <c r="DY18" s="37">
        <f t="shared" ca="1" si="7"/>
        <v>0</v>
      </c>
      <c r="DZ18" s="37">
        <f t="shared" ca="1" si="7"/>
        <v>0</v>
      </c>
      <c r="EA18" s="37">
        <f t="shared" ca="1" si="7"/>
        <v>0</v>
      </c>
      <c r="EB18" s="37">
        <f t="shared" ca="1" si="7"/>
        <v>0</v>
      </c>
      <c r="EC18" s="37">
        <f t="shared" ca="1" si="7"/>
        <v>0</v>
      </c>
      <c r="ED18" s="37">
        <f t="shared" ref="ED18:EH33" ca="1" si="11">IF(AND(OR(AND(MONTH($T18)&lt;=MONTH(ED$3),YEAR($T18)=YEAR(ED$3)),YEAR($T18)&lt;YEAR(ED$3)),OR(AND(MONTH($U18)&gt;=MONTH(ED$3),YEAR($U18)=YEAR(ED$3)),,YEAR($U18)&gt;YEAR(ED$3))),
$K18/(1+MONTH($U18)-MONTH($T18)+12*(YEAR($U18)-YEAR($T18))),0)</f>
        <v>0</v>
      </c>
      <c r="EE18" s="37">
        <f t="shared" ca="1" si="11"/>
        <v>0</v>
      </c>
      <c r="EF18" s="37">
        <f t="shared" ca="1" si="11"/>
        <v>0</v>
      </c>
      <c r="EG18" s="37">
        <f t="shared" ca="1" si="11"/>
        <v>0</v>
      </c>
      <c r="EH18" s="37">
        <f t="shared" ca="1" si="11"/>
        <v>0</v>
      </c>
      <c r="EI18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8" s="38">
        <f>IFERROR(SuiviExec[[#This Row],[PAT CA (€)]]/SuiviExec[[#This Row],[CA Vendu initial (€)]],0)</f>
        <v>1</v>
      </c>
      <c r="EK18" s="39"/>
      <c r="EL18" s="40" t="str">
        <f>IF(OR(ISBLANK(SuiviExec[[#This Row],[Budget MO (€)]]),ISBLANK(SuiviExec[[#This Row],[Budget Matériel (€)]]),ISBLANK(SuiviExec[[#This Row],[Budget ST (€)]])),"Budget non détaillé","")</f>
        <v/>
      </c>
    </row>
    <row r="19" spans="1:142" ht="15.75" x14ac:dyDescent="0.25">
      <c r="A19" s="14" t="s">
        <v>217</v>
      </c>
      <c r="B19" s="14" t="s">
        <v>169</v>
      </c>
      <c r="C19" s="14" t="s">
        <v>144</v>
      </c>
      <c r="D19" s="14" t="s">
        <v>144</v>
      </c>
      <c r="E19" s="14" t="s">
        <v>214</v>
      </c>
      <c r="F19" s="14" t="s">
        <v>146</v>
      </c>
      <c r="G19" s="15">
        <v>44197</v>
      </c>
      <c r="H19" s="16" t="s">
        <v>218</v>
      </c>
      <c r="I19" s="16" t="s">
        <v>219</v>
      </c>
      <c r="J19" s="17">
        <v>8000</v>
      </c>
      <c r="K19" s="17">
        <v>3315</v>
      </c>
      <c r="L19" s="18">
        <f>IFERROR(SuiviExec[[#This Row],[Marge Vendue Initiale (€)]]/SuiviExec[[#This Row],[CA Vendu initial (€)]],"")</f>
        <v>0.41437499999999999</v>
      </c>
      <c r="M19" s="17"/>
      <c r="N19" s="19">
        <v>97</v>
      </c>
      <c r="O19" s="20">
        <f>SuiviExec[[#This Row],[Budget MO Etude (€)]]+SuiviExec[[#This Row],[Budget MO Agent (heure)]]*Taux_Horaire_Agent</f>
        <v>2813</v>
      </c>
      <c r="P19" s="17">
        <v>1872</v>
      </c>
      <c r="Q19" s="17">
        <v>0</v>
      </c>
      <c r="R19" s="21">
        <f>SUM(SuiviExec[[#This Row],[Budget MO (€)]:[Budget ST (€)]])</f>
        <v>4685</v>
      </c>
      <c r="S19" s="22">
        <v>44348</v>
      </c>
      <c r="T19" s="22">
        <v>44572</v>
      </c>
      <c r="U19" s="23"/>
      <c r="V19" s="24" cm="1">
        <f t="array" ref="V19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19" s="20">
        <f>IFERROR(SuiviExec[[#This Row],[Réalisé MO Etude (€)]]+SuiviExec[[#This Row],[Réalisé MO Agent (heure)]]*Taux_Horaire_Agent,0)</f>
        <v>0</v>
      </c>
      <c r="X1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1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19" s="21">
        <f>SUM(SuiviExec[[#This Row],[Réalisé MO (€)]:[Réalisé ST (€)]])</f>
        <v>0</v>
      </c>
      <c r="AA19" s="26">
        <v>0.2</v>
      </c>
      <c r="AB19" s="41"/>
      <c r="AC19" s="41">
        <v>97</v>
      </c>
      <c r="AD19" s="20">
        <f>IFERROR(SuiviExec[[#This Row],[PAT MO Etude (€)]]+SuiviExec[[#This Row],[PAT MO Agent (heure)]]*Taux_Horaire_Agent,0)</f>
        <v>2813</v>
      </c>
      <c r="AE19" s="28">
        <f>SuiviExec[[#This Row],[Budget Matériel (€)]]</f>
        <v>1872</v>
      </c>
      <c r="AF19" s="28">
        <f>SuiviExec[[#This Row],[Budget ST (€)]]</f>
        <v>0</v>
      </c>
      <c r="AG19" s="21">
        <f>SUM(SuiviExec[[#This Row],[PAT MO (€)]:[PAT ST (€)]])</f>
        <v>4685</v>
      </c>
      <c r="AH19" s="28">
        <v>8000</v>
      </c>
      <c r="AI19" s="21">
        <f>SuiviExec[[#This Row],[PAT CA (€)]]-SuiviExec[[#This Row],[PAT Coût Total (€)]]</f>
        <v>3315</v>
      </c>
      <c r="AJ19" s="18">
        <f>IFERROR(SuiviExec[[#This Row],[PAT Marge (€)]]/SuiviExec[[#This Row],[PAT CA (€)]],"Saisir le PAT")</f>
        <v>0.41437499999999999</v>
      </c>
      <c r="AK19" s="29"/>
      <c r="AL19" s="28"/>
      <c r="AM19" s="29"/>
      <c r="AN19" s="28"/>
      <c r="AO19" s="30">
        <f>SuiviExec[[#This Row],[CA Vendu initial (€)]]*SuiviExec[[#This Row],[Avancement physique du chantier (%)]]</f>
        <v>1600</v>
      </c>
      <c r="AP19" s="23">
        <v>0</v>
      </c>
      <c r="AQ19" s="20">
        <f>IF(SuiviExec[[#This Row],[Avancement physique du chantier (%)]]=0,0,SuiviExec[[#This Row],[Situation méritée (CA Produit)]]-SuiviExec[[#This Row],[Montant Facturé (€)]])</f>
        <v>1600</v>
      </c>
      <c r="AR19" s="23">
        <v>0</v>
      </c>
      <c r="AS19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19" s="23">
        <v>0</v>
      </c>
      <c r="AU19" s="20">
        <f>SuiviExec[[#This Row],[Situation méritée (CA Produit)]]-SuiviExec[[#This Row],[CA Année N-1 (2020)]]</f>
        <v>1600</v>
      </c>
      <c r="AV19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8539.2494913894388</v>
      </c>
      <c r="AW19" s="20">
        <f ca="1">SUM(SuiviExec[[#This Row],[Janvier 2022 CA]:[CA &gt; 2023]])</f>
        <v>1000</v>
      </c>
      <c r="AX19" s="20">
        <f>SuiviExec[[#This Row],[Situation méritée (CA Produit)]]-SuiviExec[[#This Row],[CA Année N-1 (2020)]]-SuiviExec[[#This Row],[CA 2021 - Réalisé]]</f>
        <v>0</v>
      </c>
      <c r="AY19" s="23">
        <f>SuiviExec[[#This Row],[Avancement physique du chantier (%)]]*SuiviExec[[#This Row],[Budget MO (€)]]</f>
        <v>562.6</v>
      </c>
      <c r="AZ19" s="23">
        <f>SuiviExec[[#This Row],[Avancement physique du chantier (%)]]*SuiviExec[[#This Row],[Budget Matériel (€)]]</f>
        <v>374.40000000000003</v>
      </c>
      <c r="BA19" s="23">
        <f>SuiviExec[[#This Row],[Budget ST (€)]]*SuiviExec[[#This Row],[Avancement physique du chantier (%)]]</f>
        <v>0</v>
      </c>
      <c r="BB19" s="20">
        <f>SUM(SuiviExec[[#This Row],[Charges 2021 MO (€)]:[Charges 2021 ST (€)]])</f>
        <v>937</v>
      </c>
      <c r="BC19" s="31">
        <v>0</v>
      </c>
      <c r="BD19" s="42">
        <f>SuiviExec[[#This Row],[CA 2021 - Réalisé]]-SuiviExec[[#This Row],[Charges 2021 à date]]</f>
        <v>663</v>
      </c>
      <c r="BE19" s="18">
        <f>IF(SuiviExec[[#This Row],[Avancement physique du chantier (%)]]&gt;0,IFERROR(SuiviExec[[#This Row],[Marge 2021 à date]]/SuiviExec[[#This Row],[CA 2021 - Réalisé]],""),"")</f>
        <v>0.41437499999999999</v>
      </c>
      <c r="BF19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19" s="29"/>
      <c r="BH19" s="33">
        <f>(SuiviExec[[#This Row],[Budget MO Etude (€)]]/Taux_Horaire_Etude+SuiviExec[[#This Row],[Budget MO Agent (heure)]])</f>
        <v>97</v>
      </c>
      <c r="BI19" s="34">
        <f ca="1">SuiviExec[[#This Row],[Estimation Budget MO (heures)]]-SUM(SuiviExec[[#This Row],[MO &lt; 2021]:[MO &gt; 2023]])</f>
        <v>0</v>
      </c>
      <c r="BJ19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19" s="19">
        <f t="shared" ca="1" si="8"/>
        <v>0</v>
      </c>
      <c r="BL19" s="19">
        <f t="shared" ca="1" si="8"/>
        <v>0</v>
      </c>
      <c r="BM19" s="19">
        <f t="shared" ca="1" si="8"/>
        <v>0</v>
      </c>
      <c r="BN19" s="19">
        <f t="shared" ca="1" si="8"/>
        <v>0</v>
      </c>
      <c r="BO19" s="19">
        <f t="shared" ca="1" si="8"/>
        <v>0</v>
      </c>
      <c r="BP19" s="19">
        <f t="shared" ca="1" si="8"/>
        <v>12.125</v>
      </c>
      <c r="BQ19" s="19">
        <f t="shared" ca="1" si="8"/>
        <v>12.125</v>
      </c>
      <c r="BR19" s="19">
        <f t="shared" ca="1" si="8"/>
        <v>12.125</v>
      </c>
      <c r="BS19" s="19">
        <f t="shared" ca="1" si="8"/>
        <v>12.125</v>
      </c>
      <c r="BT19" s="19">
        <f t="shared" ca="1" si="8"/>
        <v>12.125</v>
      </c>
      <c r="BU19" s="19">
        <f t="shared" ca="1" si="8"/>
        <v>12.125</v>
      </c>
      <c r="BV19" s="19">
        <f t="shared" ca="1" si="8"/>
        <v>12.125</v>
      </c>
      <c r="BW19" s="19">
        <f t="shared" ca="1" si="8"/>
        <v>12.125</v>
      </c>
      <c r="BX19" s="19">
        <f t="shared" ca="1" si="8"/>
        <v>0</v>
      </c>
      <c r="BY19" s="19">
        <f t="shared" ca="1" si="8"/>
        <v>0</v>
      </c>
      <c r="BZ19" s="19">
        <f t="shared" ca="1" si="8"/>
        <v>0</v>
      </c>
      <c r="CA19" s="19">
        <f t="shared" ca="1" si="6"/>
        <v>0</v>
      </c>
      <c r="CB19" s="19">
        <f t="shared" ca="1" si="6"/>
        <v>0</v>
      </c>
      <c r="CC19" s="19">
        <f t="shared" ca="1" si="6"/>
        <v>0</v>
      </c>
      <c r="CD19" s="19">
        <f t="shared" ca="1" si="6"/>
        <v>0</v>
      </c>
      <c r="CE19" s="19">
        <f t="shared" ca="1" si="6"/>
        <v>0</v>
      </c>
      <c r="CF19" s="19">
        <f t="shared" ca="1" si="6"/>
        <v>0</v>
      </c>
      <c r="CG19" s="19">
        <f t="shared" ca="1" si="6"/>
        <v>0</v>
      </c>
      <c r="CH19" s="19">
        <f t="shared" ca="1" si="6"/>
        <v>0</v>
      </c>
      <c r="CI19" s="19">
        <f t="shared" ca="1" si="6"/>
        <v>0</v>
      </c>
      <c r="CJ19" s="19">
        <f t="shared" ca="1" si="6"/>
        <v>0</v>
      </c>
      <c r="CK19" s="19">
        <f t="shared" ca="1" si="6"/>
        <v>0</v>
      </c>
      <c r="CL19" s="19">
        <f t="shared" ca="1" si="6"/>
        <v>0</v>
      </c>
      <c r="CM19" s="19">
        <f t="shared" ca="1" si="6"/>
        <v>0</v>
      </c>
      <c r="CN19" s="19">
        <f t="shared" ca="1" si="6"/>
        <v>0</v>
      </c>
      <c r="CO19" s="19">
        <f t="shared" ca="1" si="6"/>
        <v>0</v>
      </c>
      <c r="CP19" s="19">
        <f t="shared" ca="1" si="9"/>
        <v>0</v>
      </c>
      <c r="CQ19" s="19">
        <f t="shared" ca="1" si="9"/>
        <v>0</v>
      </c>
      <c r="CR19" s="19">
        <f t="shared" ca="1" si="9"/>
        <v>0</v>
      </c>
      <c r="CS19" s="19">
        <f t="shared" ca="1" si="9"/>
        <v>0</v>
      </c>
      <c r="CT19" s="19">
        <f t="shared" ca="1" si="9"/>
        <v>0</v>
      </c>
      <c r="CU19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19" s="35"/>
      <c r="CW19" s="36">
        <f ca="1">SuiviExec[[#This Row],[CA Vendu initial (€)]]-SUM(SuiviExec[[#This Row],[CA &lt; 2021]:[CA &gt; 2023]])</f>
        <v>0</v>
      </c>
      <c r="CX19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19" s="37">
        <f t="shared" ca="1" si="10"/>
        <v>0</v>
      </c>
      <c r="CZ19" s="37">
        <f t="shared" ca="1" si="10"/>
        <v>0</v>
      </c>
      <c r="DA19" s="37">
        <f t="shared" ca="1" si="10"/>
        <v>0</v>
      </c>
      <c r="DB19" s="37">
        <f t="shared" ca="1" si="10"/>
        <v>0</v>
      </c>
      <c r="DC19" s="37">
        <f t="shared" ca="1" si="10"/>
        <v>0</v>
      </c>
      <c r="DD19" s="37">
        <f t="shared" ca="1" si="10"/>
        <v>1000</v>
      </c>
      <c r="DE19" s="37">
        <f t="shared" ca="1" si="10"/>
        <v>1000</v>
      </c>
      <c r="DF19" s="37">
        <f t="shared" ca="1" si="10"/>
        <v>1000</v>
      </c>
      <c r="DG19" s="37">
        <f t="shared" ca="1" si="10"/>
        <v>1000</v>
      </c>
      <c r="DH19" s="37">
        <f t="shared" ca="1" si="10"/>
        <v>1000</v>
      </c>
      <c r="DI19" s="37">
        <f t="shared" ca="1" si="10"/>
        <v>1000</v>
      </c>
      <c r="DJ19" s="37">
        <f t="shared" ca="1" si="10"/>
        <v>1000</v>
      </c>
      <c r="DK19" s="37">
        <f t="shared" ca="1" si="10"/>
        <v>1000</v>
      </c>
      <c r="DL19" s="37">
        <f t="shared" ca="1" si="10"/>
        <v>0</v>
      </c>
      <c r="DM19" s="37">
        <f t="shared" ca="1" si="10"/>
        <v>0</v>
      </c>
      <c r="DN19" s="37">
        <f t="shared" ca="1" si="10"/>
        <v>0</v>
      </c>
      <c r="DO19" s="37">
        <f t="shared" ca="1" si="7"/>
        <v>0</v>
      </c>
      <c r="DP19" s="37">
        <f t="shared" ca="1" si="7"/>
        <v>0</v>
      </c>
      <c r="DQ19" s="37">
        <f t="shared" ca="1" si="7"/>
        <v>0</v>
      </c>
      <c r="DR19" s="37">
        <f t="shared" ca="1" si="7"/>
        <v>0</v>
      </c>
      <c r="DS19" s="37">
        <f t="shared" ca="1" si="7"/>
        <v>0</v>
      </c>
      <c r="DT19" s="37">
        <f t="shared" ca="1" si="7"/>
        <v>0</v>
      </c>
      <c r="DU19" s="37">
        <f t="shared" ca="1" si="7"/>
        <v>0</v>
      </c>
      <c r="DV19" s="37">
        <f t="shared" ca="1" si="7"/>
        <v>0</v>
      </c>
      <c r="DW19" s="37">
        <f t="shared" ca="1" si="7"/>
        <v>0</v>
      </c>
      <c r="DX19" s="37">
        <f t="shared" ca="1" si="7"/>
        <v>0</v>
      </c>
      <c r="DY19" s="37">
        <f t="shared" ca="1" si="7"/>
        <v>0</v>
      </c>
      <c r="DZ19" s="37">
        <f t="shared" ca="1" si="7"/>
        <v>0</v>
      </c>
      <c r="EA19" s="37">
        <f t="shared" ca="1" si="7"/>
        <v>0</v>
      </c>
      <c r="EB19" s="37">
        <f t="shared" ca="1" si="7"/>
        <v>0</v>
      </c>
      <c r="EC19" s="37">
        <f t="shared" ca="1" si="7"/>
        <v>0</v>
      </c>
      <c r="ED19" s="37">
        <f t="shared" ca="1" si="11"/>
        <v>0</v>
      </c>
      <c r="EE19" s="37">
        <f t="shared" ca="1" si="11"/>
        <v>0</v>
      </c>
      <c r="EF19" s="37">
        <f t="shared" ca="1" si="11"/>
        <v>0</v>
      </c>
      <c r="EG19" s="37">
        <f t="shared" ca="1" si="11"/>
        <v>0</v>
      </c>
      <c r="EH19" s="37">
        <f t="shared" ca="1" si="11"/>
        <v>0</v>
      </c>
      <c r="EI19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19" s="38">
        <f>IFERROR(SuiviExec[[#This Row],[PAT CA (€)]]/SuiviExec[[#This Row],[CA Vendu initial (€)]],0)</f>
        <v>1</v>
      </c>
      <c r="EK19" s="39"/>
      <c r="EL19" s="40" t="str">
        <f>IF(OR(ISBLANK(SuiviExec[[#This Row],[Budget MO (€)]]),ISBLANK(SuiviExec[[#This Row],[Budget Matériel (€)]]),ISBLANK(SuiviExec[[#This Row],[Budget ST (€)]])),"Budget non détaillé","")</f>
        <v/>
      </c>
    </row>
    <row r="20" spans="1:142" ht="15.75" x14ac:dyDescent="0.25">
      <c r="A20" s="14" t="s">
        <v>220</v>
      </c>
      <c r="B20" s="14" t="s">
        <v>221</v>
      </c>
      <c r="C20" s="14" t="s">
        <v>144</v>
      </c>
      <c r="D20" s="14" t="s">
        <v>182</v>
      </c>
      <c r="E20" s="14" t="s">
        <v>182</v>
      </c>
      <c r="F20" s="14" t="s">
        <v>146</v>
      </c>
      <c r="G20" s="15">
        <v>44197</v>
      </c>
      <c r="H20" s="16" t="s">
        <v>222</v>
      </c>
      <c r="I20" s="16" t="s">
        <v>223</v>
      </c>
      <c r="J20" s="17">
        <v>11237</v>
      </c>
      <c r="K20" s="17">
        <v>3242</v>
      </c>
      <c r="L20" s="18">
        <f>IFERROR(SuiviExec[[#This Row],[Marge Vendue Initiale (€)]]/SuiviExec[[#This Row],[CA Vendu initial (€)]],"")</f>
        <v>0.28851116846133312</v>
      </c>
      <c r="M20" s="17"/>
      <c r="N20" s="19">
        <v>35</v>
      </c>
      <c r="O20" s="20">
        <f>SuiviExec[[#This Row],[Budget MO Etude (€)]]+SuiviExec[[#This Row],[Budget MO Agent (heure)]]*Taux_Horaire_Agent</f>
        <v>1015</v>
      </c>
      <c r="P20" s="17">
        <v>5300</v>
      </c>
      <c r="Q20" s="17">
        <v>1680</v>
      </c>
      <c r="R20" s="21">
        <f>SUM(SuiviExec[[#This Row],[Budget MO (€)]:[Budget ST (€)]])</f>
        <v>7995</v>
      </c>
      <c r="S20" s="22">
        <v>44510</v>
      </c>
      <c r="T20" s="22">
        <v>44531</v>
      </c>
      <c r="U20" s="23"/>
      <c r="V20" s="24" cm="1">
        <f t="array" ref="V20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0" s="20">
        <f>IFERROR(SuiviExec[[#This Row],[Réalisé MO Etude (€)]]+SuiviExec[[#This Row],[Réalisé MO Agent (heure)]]*Taux_Horaire_Agent,0)</f>
        <v>0</v>
      </c>
      <c r="X2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0" s="21">
        <f>SUM(SuiviExec[[#This Row],[Réalisé MO (€)]:[Réalisé ST (€)]])</f>
        <v>0</v>
      </c>
      <c r="AA20" s="26">
        <v>0.2</v>
      </c>
      <c r="AB20" s="41"/>
      <c r="AC20" s="41">
        <v>35</v>
      </c>
      <c r="AD20" s="20">
        <f>IFERROR(SuiviExec[[#This Row],[PAT MO Etude (€)]]+SuiviExec[[#This Row],[PAT MO Agent (heure)]]*Taux_Horaire_Agent,0)</f>
        <v>1015</v>
      </c>
      <c r="AE20" s="28">
        <f>SuiviExec[[#This Row],[Budget Matériel (€)]]</f>
        <v>5300</v>
      </c>
      <c r="AF20" s="28">
        <f>SuiviExec[[#This Row],[Budget ST (€)]]</f>
        <v>1680</v>
      </c>
      <c r="AG20" s="21">
        <f>SUM(SuiviExec[[#This Row],[PAT MO (€)]:[PAT ST (€)]])</f>
        <v>7995</v>
      </c>
      <c r="AH20" s="28">
        <v>11237</v>
      </c>
      <c r="AI20" s="21">
        <f>SuiviExec[[#This Row],[PAT CA (€)]]-SuiviExec[[#This Row],[PAT Coût Total (€)]]</f>
        <v>3242</v>
      </c>
      <c r="AJ20" s="18">
        <f>IFERROR(SuiviExec[[#This Row],[PAT Marge (€)]]/SuiviExec[[#This Row],[PAT CA (€)]],"Saisir le PAT")</f>
        <v>0.28851116846133312</v>
      </c>
      <c r="AK20" s="29"/>
      <c r="AL20" s="28"/>
      <c r="AM20" s="29"/>
      <c r="AN20" s="28"/>
      <c r="AO20" s="30">
        <f>SuiviExec[[#This Row],[CA Vendu initial (€)]]*SuiviExec[[#This Row],[Avancement physique du chantier (%)]]</f>
        <v>2247.4</v>
      </c>
      <c r="AP20" s="23">
        <v>0</v>
      </c>
      <c r="AQ20" s="20">
        <f>IF(SuiviExec[[#This Row],[Avancement physique du chantier (%)]]=0,0,SuiviExec[[#This Row],[Situation méritée (CA Produit)]]-SuiviExec[[#This Row],[Montant Facturé (€)]])</f>
        <v>2247.4</v>
      </c>
      <c r="AR20" s="23">
        <v>0</v>
      </c>
      <c r="AS20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0" s="23">
        <v>0</v>
      </c>
      <c r="AU20" s="20">
        <f>SuiviExec[[#This Row],[Situation méritée (CA Produit)]]-SuiviExec[[#This Row],[CA Année N-1 (2020)]]</f>
        <v>2247.4</v>
      </c>
      <c r="AV20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0</v>
      </c>
      <c r="AW20" s="20">
        <f ca="1">SUM(SuiviExec[[#This Row],[Janvier 2022 CA]:[CA &gt; 2023]])</f>
        <v>0</v>
      </c>
      <c r="AX20" s="20">
        <f>SuiviExec[[#This Row],[Situation méritée (CA Produit)]]-SuiviExec[[#This Row],[CA Année N-1 (2020)]]-SuiviExec[[#This Row],[CA 2021 - Réalisé]]</f>
        <v>0</v>
      </c>
      <c r="AY20" s="23">
        <f>SuiviExec[[#This Row],[Avancement physique du chantier (%)]]*SuiviExec[[#This Row],[Budget MO (€)]]</f>
        <v>203</v>
      </c>
      <c r="AZ20" s="23">
        <f>SuiviExec[[#This Row],[Avancement physique du chantier (%)]]*SuiviExec[[#This Row],[Budget Matériel (€)]]</f>
        <v>1060</v>
      </c>
      <c r="BA20" s="23">
        <f>SuiviExec[[#This Row],[Budget ST (€)]]*SuiviExec[[#This Row],[Avancement physique du chantier (%)]]</f>
        <v>336</v>
      </c>
      <c r="BB20" s="20">
        <f>SUM(SuiviExec[[#This Row],[Charges 2021 MO (€)]:[Charges 2021 ST (€)]])</f>
        <v>1599</v>
      </c>
      <c r="BC20" s="31">
        <v>0</v>
      </c>
      <c r="BD20" s="42">
        <f>SuiviExec[[#This Row],[CA 2021 - Réalisé]]-SuiviExec[[#This Row],[Charges 2021 à date]]</f>
        <v>648.40000000000009</v>
      </c>
      <c r="BE20" s="18">
        <f>IF(SuiviExec[[#This Row],[Avancement physique du chantier (%)]]&gt;0,IFERROR(SuiviExec[[#This Row],[Marge 2021 à date]]/SuiviExec[[#This Row],[CA 2021 - Réalisé]],""),"")</f>
        <v>0.28851116846133312</v>
      </c>
      <c r="BF20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0" s="29"/>
      <c r="BH20" s="33">
        <f>(SuiviExec[[#This Row],[Budget MO Etude (€)]]/Taux_Horaire_Etude+SuiviExec[[#This Row],[Budget MO Agent (heure)]])</f>
        <v>35</v>
      </c>
      <c r="BI20" s="34">
        <f ca="1">SuiviExec[[#This Row],[Estimation Budget MO (heures)]]-SUM(SuiviExec[[#This Row],[MO &lt; 2021]:[MO &gt; 2023]])</f>
        <v>0</v>
      </c>
      <c r="BJ20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0" s="19">
        <f t="shared" ca="1" si="8"/>
        <v>0</v>
      </c>
      <c r="BL20" s="19">
        <f t="shared" ca="1" si="8"/>
        <v>0</v>
      </c>
      <c r="BM20" s="19">
        <f t="shared" ca="1" si="8"/>
        <v>0</v>
      </c>
      <c r="BN20" s="19">
        <f t="shared" ca="1" si="8"/>
        <v>0</v>
      </c>
      <c r="BO20" s="19">
        <f t="shared" ca="1" si="8"/>
        <v>0</v>
      </c>
      <c r="BP20" s="19">
        <f t="shared" ca="1" si="8"/>
        <v>0</v>
      </c>
      <c r="BQ20" s="19">
        <f t="shared" ca="1" si="8"/>
        <v>0</v>
      </c>
      <c r="BR20" s="19">
        <f t="shared" ca="1" si="8"/>
        <v>0</v>
      </c>
      <c r="BS20" s="19">
        <f t="shared" ca="1" si="8"/>
        <v>0</v>
      </c>
      <c r="BT20" s="19">
        <f t="shared" ca="1" si="8"/>
        <v>0</v>
      </c>
      <c r="BU20" s="19">
        <f t="shared" ca="1" si="8"/>
        <v>17.5</v>
      </c>
      <c r="BV20" s="19">
        <f t="shared" ca="1" si="8"/>
        <v>17.5</v>
      </c>
      <c r="BW20" s="19">
        <f t="shared" ca="1" si="8"/>
        <v>0</v>
      </c>
      <c r="BX20" s="19">
        <f t="shared" ca="1" si="8"/>
        <v>0</v>
      </c>
      <c r="BY20" s="19">
        <f t="shared" ca="1" si="8"/>
        <v>0</v>
      </c>
      <c r="BZ20" s="19">
        <f t="shared" ca="1" si="8"/>
        <v>0</v>
      </c>
      <c r="CA20" s="19">
        <f t="shared" ca="1" si="6"/>
        <v>0</v>
      </c>
      <c r="CB20" s="19">
        <f t="shared" ca="1" si="6"/>
        <v>0</v>
      </c>
      <c r="CC20" s="19">
        <f t="shared" ca="1" si="6"/>
        <v>0</v>
      </c>
      <c r="CD20" s="19">
        <f t="shared" ca="1" si="6"/>
        <v>0</v>
      </c>
      <c r="CE20" s="19">
        <f t="shared" ca="1" si="6"/>
        <v>0</v>
      </c>
      <c r="CF20" s="19">
        <f t="shared" ca="1" si="6"/>
        <v>0</v>
      </c>
      <c r="CG20" s="19">
        <f t="shared" ca="1" si="6"/>
        <v>0</v>
      </c>
      <c r="CH20" s="19">
        <f t="shared" ca="1" si="6"/>
        <v>0</v>
      </c>
      <c r="CI20" s="19">
        <f t="shared" ca="1" si="6"/>
        <v>0</v>
      </c>
      <c r="CJ20" s="19">
        <f t="shared" ca="1" si="6"/>
        <v>0</v>
      </c>
      <c r="CK20" s="19">
        <f t="shared" ca="1" si="6"/>
        <v>0</v>
      </c>
      <c r="CL20" s="19">
        <f t="shared" ca="1" si="6"/>
        <v>0</v>
      </c>
      <c r="CM20" s="19">
        <f t="shared" ca="1" si="6"/>
        <v>0</v>
      </c>
      <c r="CN20" s="19">
        <f t="shared" ca="1" si="6"/>
        <v>0</v>
      </c>
      <c r="CO20" s="19">
        <f t="shared" ca="1" si="6"/>
        <v>0</v>
      </c>
      <c r="CP20" s="19">
        <f t="shared" ca="1" si="9"/>
        <v>0</v>
      </c>
      <c r="CQ20" s="19">
        <f t="shared" ca="1" si="9"/>
        <v>0</v>
      </c>
      <c r="CR20" s="19">
        <f t="shared" ca="1" si="9"/>
        <v>0</v>
      </c>
      <c r="CS20" s="19">
        <f t="shared" ca="1" si="9"/>
        <v>0</v>
      </c>
      <c r="CT20" s="19">
        <f t="shared" ca="1" si="9"/>
        <v>0</v>
      </c>
      <c r="CU20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0" s="35"/>
      <c r="CW20" s="36">
        <f ca="1">SuiviExec[[#This Row],[CA Vendu initial (€)]]-SUM(SuiviExec[[#This Row],[CA &lt; 2021]:[CA &gt; 2023]])</f>
        <v>0</v>
      </c>
      <c r="CX20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0" s="37">
        <f t="shared" ca="1" si="10"/>
        <v>0</v>
      </c>
      <c r="CZ20" s="37">
        <f t="shared" ca="1" si="10"/>
        <v>0</v>
      </c>
      <c r="DA20" s="37">
        <f t="shared" ca="1" si="10"/>
        <v>0</v>
      </c>
      <c r="DB20" s="37">
        <f t="shared" ca="1" si="10"/>
        <v>0</v>
      </c>
      <c r="DC20" s="37">
        <f t="shared" ca="1" si="10"/>
        <v>0</v>
      </c>
      <c r="DD20" s="37">
        <f t="shared" ca="1" si="10"/>
        <v>0</v>
      </c>
      <c r="DE20" s="37">
        <f t="shared" ca="1" si="10"/>
        <v>0</v>
      </c>
      <c r="DF20" s="37">
        <f t="shared" ca="1" si="10"/>
        <v>0</v>
      </c>
      <c r="DG20" s="37">
        <f t="shared" ca="1" si="10"/>
        <v>0</v>
      </c>
      <c r="DH20" s="37">
        <f t="shared" ca="1" si="10"/>
        <v>0</v>
      </c>
      <c r="DI20" s="37">
        <f t="shared" ca="1" si="10"/>
        <v>5618.5</v>
      </c>
      <c r="DJ20" s="37">
        <f t="shared" ca="1" si="10"/>
        <v>5618.5</v>
      </c>
      <c r="DK20" s="37">
        <f t="shared" ca="1" si="10"/>
        <v>0</v>
      </c>
      <c r="DL20" s="37">
        <f t="shared" ca="1" si="10"/>
        <v>0</v>
      </c>
      <c r="DM20" s="37">
        <f t="shared" ca="1" si="10"/>
        <v>0</v>
      </c>
      <c r="DN20" s="37">
        <f t="shared" ca="1" si="10"/>
        <v>0</v>
      </c>
      <c r="DO20" s="37">
        <f t="shared" ca="1" si="7"/>
        <v>0</v>
      </c>
      <c r="DP20" s="37">
        <f t="shared" ca="1" si="7"/>
        <v>0</v>
      </c>
      <c r="DQ20" s="37">
        <f t="shared" ca="1" si="7"/>
        <v>0</v>
      </c>
      <c r="DR20" s="37">
        <f t="shared" ca="1" si="7"/>
        <v>0</v>
      </c>
      <c r="DS20" s="37">
        <f t="shared" ca="1" si="7"/>
        <v>0</v>
      </c>
      <c r="DT20" s="37">
        <f t="shared" ca="1" si="7"/>
        <v>0</v>
      </c>
      <c r="DU20" s="37">
        <f t="shared" ca="1" si="7"/>
        <v>0</v>
      </c>
      <c r="DV20" s="37">
        <f t="shared" ca="1" si="7"/>
        <v>0</v>
      </c>
      <c r="DW20" s="37">
        <f t="shared" ca="1" si="7"/>
        <v>0</v>
      </c>
      <c r="DX20" s="37">
        <f t="shared" ca="1" si="7"/>
        <v>0</v>
      </c>
      <c r="DY20" s="37">
        <f t="shared" ca="1" si="7"/>
        <v>0</v>
      </c>
      <c r="DZ20" s="37">
        <f t="shared" ca="1" si="7"/>
        <v>0</v>
      </c>
      <c r="EA20" s="37">
        <f t="shared" ca="1" si="7"/>
        <v>0</v>
      </c>
      <c r="EB20" s="37">
        <f t="shared" ca="1" si="7"/>
        <v>0</v>
      </c>
      <c r="EC20" s="37">
        <f t="shared" ca="1" si="7"/>
        <v>0</v>
      </c>
      <c r="ED20" s="37">
        <f t="shared" ca="1" si="11"/>
        <v>0</v>
      </c>
      <c r="EE20" s="37">
        <f t="shared" ca="1" si="11"/>
        <v>0</v>
      </c>
      <c r="EF20" s="37">
        <f t="shared" ca="1" si="11"/>
        <v>0</v>
      </c>
      <c r="EG20" s="37">
        <f t="shared" ca="1" si="11"/>
        <v>0</v>
      </c>
      <c r="EH20" s="37">
        <f t="shared" ca="1" si="11"/>
        <v>0</v>
      </c>
      <c r="EI20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0" s="38">
        <f>IFERROR(SuiviExec[[#This Row],[PAT CA (€)]]/SuiviExec[[#This Row],[CA Vendu initial (€)]],0)</f>
        <v>1</v>
      </c>
      <c r="EK20" s="39"/>
      <c r="EL20" s="40" t="str">
        <f>IF(OR(ISBLANK(SuiviExec[[#This Row],[Budget MO (€)]]),ISBLANK(SuiviExec[[#This Row],[Budget Matériel (€)]]),ISBLANK(SuiviExec[[#This Row],[Budget ST (€)]])),"Budget non détaillé","")</f>
        <v/>
      </c>
    </row>
    <row r="21" spans="1:142" ht="15.75" x14ac:dyDescent="0.25">
      <c r="A21" s="14" t="s">
        <v>224</v>
      </c>
      <c r="B21" s="14" t="s">
        <v>169</v>
      </c>
      <c r="C21" s="14" t="s">
        <v>144</v>
      </c>
      <c r="D21" s="14" t="s">
        <v>182</v>
      </c>
      <c r="E21" s="14" t="s">
        <v>182</v>
      </c>
      <c r="F21" s="14" t="s">
        <v>146</v>
      </c>
      <c r="G21" s="15">
        <v>44488</v>
      </c>
      <c r="H21" s="16" t="s">
        <v>225</v>
      </c>
      <c r="I21" s="16" t="s">
        <v>226</v>
      </c>
      <c r="J21" s="17">
        <v>2165</v>
      </c>
      <c r="K21" s="17">
        <v>612</v>
      </c>
      <c r="L21" s="18">
        <f>IFERROR(SuiviExec[[#This Row],[Marge Vendue Initiale (€)]]/SuiviExec[[#This Row],[CA Vendu initial (€)]],"")</f>
        <v>0.28267898383371826</v>
      </c>
      <c r="M21" s="17"/>
      <c r="N21" s="19">
        <v>7</v>
      </c>
      <c r="O21" s="20">
        <f>SuiviExec[[#This Row],[Budget MO Etude (€)]]+SuiviExec[[#This Row],[Budget MO Agent (heure)]]*Taux_Horaire_Agent</f>
        <v>203</v>
      </c>
      <c r="P21" s="17">
        <v>1350</v>
      </c>
      <c r="Q21" s="17">
        <v>0</v>
      </c>
      <c r="R21" s="21">
        <f>SUM(SuiviExec[[#This Row],[Budget MO (€)]:[Budget ST (€)]])</f>
        <v>1553</v>
      </c>
      <c r="S21" s="22">
        <v>44515</v>
      </c>
      <c r="T21" s="22">
        <v>44522</v>
      </c>
      <c r="U21" s="23"/>
      <c r="V21" s="24" cm="1">
        <f t="array" ref="V2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1" s="20">
        <f>IFERROR(SuiviExec[[#This Row],[Réalisé MO Etude (€)]]+SuiviExec[[#This Row],[Réalisé MO Agent (heure)]]*Taux_Horaire_Agent,0)</f>
        <v>0</v>
      </c>
      <c r="X2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1" s="21">
        <f>SUM(SuiviExec[[#This Row],[Réalisé MO (€)]:[Réalisé ST (€)]])</f>
        <v>0</v>
      </c>
      <c r="AA21" s="26">
        <v>0.5</v>
      </c>
      <c r="AB21" s="41"/>
      <c r="AC21" s="41">
        <v>7</v>
      </c>
      <c r="AD21" s="20">
        <f>IFERROR(SuiviExec[[#This Row],[PAT MO Etude (€)]]+SuiviExec[[#This Row],[PAT MO Agent (heure)]]*Taux_Horaire_Agent,0)</f>
        <v>203</v>
      </c>
      <c r="AE21" s="28">
        <f>SuiviExec[[#This Row],[Budget Matériel (€)]]</f>
        <v>1350</v>
      </c>
      <c r="AF21" s="28">
        <f>SuiviExec[[#This Row],[Budget ST (€)]]</f>
        <v>0</v>
      </c>
      <c r="AG21" s="21">
        <f>SUM(SuiviExec[[#This Row],[PAT MO (€)]:[PAT ST (€)]])</f>
        <v>1553</v>
      </c>
      <c r="AH21" s="28">
        <v>2165</v>
      </c>
      <c r="AI21" s="21">
        <f>SuiviExec[[#This Row],[PAT CA (€)]]-SuiviExec[[#This Row],[PAT Coût Total (€)]]</f>
        <v>612</v>
      </c>
      <c r="AJ21" s="18">
        <f>IFERROR(SuiviExec[[#This Row],[PAT Marge (€)]]/SuiviExec[[#This Row],[PAT CA (€)]],"Saisir le PAT")</f>
        <v>0.28267898383371826</v>
      </c>
      <c r="AK21" s="29"/>
      <c r="AL21" s="28"/>
      <c r="AM21" s="29"/>
      <c r="AN21" s="28"/>
      <c r="AO21" s="30">
        <f>SuiviExec[[#This Row],[CA Vendu initial (€)]]*SuiviExec[[#This Row],[Avancement physique du chantier (%)]]</f>
        <v>1082.5</v>
      </c>
      <c r="AP21" s="23">
        <v>0</v>
      </c>
      <c r="AQ21" s="20">
        <f>IF(SuiviExec[[#This Row],[Avancement physique du chantier (%)]]=0,0,SuiviExec[[#This Row],[Situation méritée (CA Produit)]]-SuiviExec[[#This Row],[Montant Facturé (€)]])</f>
        <v>1082.5</v>
      </c>
      <c r="AR21" s="23">
        <v>0</v>
      </c>
      <c r="AS21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1" s="23">
        <v>0</v>
      </c>
      <c r="AU21" s="20">
        <f>SuiviExec[[#This Row],[Situation méritée (CA Produit)]]-SuiviExec[[#This Row],[CA Année N-1 (2020)]]</f>
        <v>1082.5</v>
      </c>
      <c r="AV21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2107.5999250115378</v>
      </c>
      <c r="AW21" s="20">
        <f ca="1">SUM(SuiviExec[[#This Row],[Janvier 2022 CA]:[CA &gt; 2023]])</f>
        <v>0</v>
      </c>
      <c r="AX21" s="20">
        <f>SuiviExec[[#This Row],[Situation méritée (CA Produit)]]-SuiviExec[[#This Row],[CA Année N-1 (2020)]]-SuiviExec[[#This Row],[CA 2021 - Réalisé]]</f>
        <v>0</v>
      </c>
      <c r="AY21" s="23">
        <f>SuiviExec[[#This Row],[Avancement physique du chantier (%)]]*SuiviExec[[#This Row],[Budget MO (€)]]</f>
        <v>101.5</v>
      </c>
      <c r="AZ21" s="23">
        <f>SuiviExec[[#This Row],[Avancement physique du chantier (%)]]*SuiviExec[[#This Row],[Budget Matériel (€)]]</f>
        <v>675</v>
      </c>
      <c r="BA21" s="23">
        <f>SuiviExec[[#This Row],[Budget ST (€)]]*SuiviExec[[#This Row],[Avancement physique du chantier (%)]]</f>
        <v>0</v>
      </c>
      <c r="BB21" s="20">
        <f>SUM(SuiviExec[[#This Row],[Charges 2021 MO (€)]:[Charges 2021 ST (€)]])</f>
        <v>776.5</v>
      </c>
      <c r="BC21" s="31">
        <v>0</v>
      </c>
      <c r="BD21" s="42">
        <f>SuiviExec[[#This Row],[CA 2021 - Réalisé]]-SuiviExec[[#This Row],[Charges 2021 à date]]</f>
        <v>306</v>
      </c>
      <c r="BE21" s="18">
        <f>IF(SuiviExec[[#This Row],[Avancement physique du chantier (%)]]&gt;0,IFERROR(SuiviExec[[#This Row],[Marge 2021 à date]]/SuiviExec[[#This Row],[CA 2021 - Réalisé]],""),"")</f>
        <v>0.28267898383371826</v>
      </c>
      <c r="BF21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1" s="29"/>
      <c r="BH21" s="33">
        <f>(SuiviExec[[#This Row],[Budget MO Etude (€)]]/Taux_Horaire_Etude+SuiviExec[[#This Row],[Budget MO Agent (heure)]])</f>
        <v>7</v>
      </c>
      <c r="BI21" s="34">
        <f ca="1">SuiviExec[[#This Row],[Estimation Budget MO (heures)]]-SUM(SuiviExec[[#This Row],[MO &lt; 2021]:[MO &gt; 2023]])</f>
        <v>0</v>
      </c>
      <c r="BJ21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1" s="19">
        <f t="shared" ca="1" si="8"/>
        <v>0</v>
      </c>
      <c r="BL21" s="19">
        <f t="shared" ca="1" si="8"/>
        <v>0</v>
      </c>
      <c r="BM21" s="19">
        <f t="shared" ca="1" si="8"/>
        <v>0</v>
      </c>
      <c r="BN21" s="19">
        <f t="shared" ca="1" si="8"/>
        <v>0</v>
      </c>
      <c r="BO21" s="19">
        <f t="shared" ca="1" si="8"/>
        <v>0</v>
      </c>
      <c r="BP21" s="19">
        <f t="shared" ca="1" si="8"/>
        <v>0</v>
      </c>
      <c r="BQ21" s="19">
        <f t="shared" ca="1" si="8"/>
        <v>0</v>
      </c>
      <c r="BR21" s="19">
        <f t="shared" ca="1" si="8"/>
        <v>0</v>
      </c>
      <c r="BS21" s="19">
        <f t="shared" ca="1" si="8"/>
        <v>0</v>
      </c>
      <c r="BT21" s="19">
        <f t="shared" ca="1" si="8"/>
        <v>0</v>
      </c>
      <c r="BU21" s="19">
        <f t="shared" ca="1" si="8"/>
        <v>7</v>
      </c>
      <c r="BV21" s="19">
        <f t="shared" ca="1" si="8"/>
        <v>0</v>
      </c>
      <c r="BW21" s="19">
        <f t="shared" ca="1" si="8"/>
        <v>0</v>
      </c>
      <c r="BX21" s="19">
        <f t="shared" ca="1" si="8"/>
        <v>0</v>
      </c>
      <c r="BY21" s="19">
        <f t="shared" ca="1" si="8"/>
        <v>0</v>
      </c>
      <c r="BZ21" s="19">
        <f t="shared" ca="1" si="8"/>
        <v>0</v>
      </c>
      <c r="CA21" s="19">
        <f t="shared" ca="1" si="6"/>
        <v>0</v>
      </c>
      <c r="CB21" s="19">
        <f t="shared" ca="1" si="6"/>
        <v>0</v>
      </c>
      <c r="CC21" s="19">
        <f t="shared" ca="1" si="6"/>
        <v>0</v>
      </c>
      <c r="CD21" s="19">
        <f t="shared" ca="1" si="6"/>
        <v>0</v>
      </c>
      <c r="CE21" s="19">
        <f t="shared" ca="1" si="6"/>
        <v>0</v>
      </c>
      <c r="CF21" s="19">
        <f t="shared" ca="1" si="6"/>
        <v>0</v>
      </c>
      <c r="CG21" s="19">
        <f t="shared" ca="1" si="6"/>
        <v>0</v>
      </c>
      <c r="CH21" s="19">
        <f t="shared" ca="1" si="6"/>
        <v>0</v>
      </c>
      <c r="CI21" s="19">
        <f t="shared" ca="1" si="6"/>
        <v>0</v>
      </c>
      <c r="CJ21" s="19">
        <f t="shared" ca="1" si="6"/>
        <v>0</v>
      </c>
      <c r="CK21" s="19">
        <f t="shared" ca="1" si="6"/>
        <v>0</v>
      </c>
      <c r="CL21" s="19">
        <f t="shared" ca="1" si="6"/>
        <v>0</v>
      </c>
      <c r="CM21" s="19">
        <f t="shared" ca="1" si="6"/>
        <v>0</v>
      </c>
      <c r="CN21" s="19">
        <f t="shared" ca="1" si="6"/>
        <v>0</v>
      </c>
      <c r="CO21" s="19">
        <f t="shared" ca="1" si="6"/>
        <v>0</v>
      </c>
      <c r="CP21" s="19">
        <f t="shared" ca="1" si="9"/>
        <v>0</v>
      </c>
      <c r="CQ21" s="19">
        <f t="shared" ca="1" si="9"/>
        <v>0</v>
      </c>
      <c r="CR21" s="19">
        <f t="shared" ca="1" si="9"/>
        <v>0</v>
      </c>
      <c r="CS21" s="19">
        <f t="shared" ca="1" si="9"/>
        <v>0</v>
      </c>
      <c r="CT21" s="19">
        <f t="shared" ca="1" si="9"/>
        <v>0</v>
      </c>
      <c r="CU21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1" s="35"/>
      <c r="CW21" s="36">
        <f ca="1">SuiviExec[[#This Row],[CA Vendu initial (€)]]-SUM(SuiviExec[[#This Row],[CA &lt; 2021]:[CA &gt; 2023]])</f>
        <v>0</v>
      </c>
      <c r="CX21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1" s="37">
        <f t="shared" ca="1" si="10"/>
        <v>0</v>
      </c>
      <c r="CZ21" s="37">
        <f t="shared" ca="1" si="10"/>
        <v>0</v>
      </c>
      <c r="DA21" s="37">
        <f t="shared" ca="1" si="10"/>
        <v>0</v>
      </c>
      <c r="DB21" s="37">
        <f t="shared" ca="1" si="10"/>
        <v>0</v>
      </c>
      <c r="DC21" s="37">
        <f t="shared" ca="1" si="10"/>
        <v>0</v>
      </c>
      <c r="DD21" s="37">
        <f t="shared" ca="1" si="10"/>
        <v>0</v>
      </c>
      <c r="DE21" s="37">
        <f t="shared" ca="1" si="10"/>
        <v>0</v>
      </c>
      <c r="DF21" s="37">
        <f t="shared" ca="1" si="10"/>
        <v>0</v>
      </c>
      <c r="DG21" s="37">
        <f t="shared" ca="1" si="10"/>
        <v>0</v>
      </c>
      <c r="DH21" s="37">
        <f t="shared" ca="1" si="10"/>
        <v>0</v>
      </c>
      <c r="DI21" s="37">
        <f t="shared" ca="1" si="10"/>
        <v>2165</v>
      </c>
      <c r="DJ21" s="37">
        <f t="shared" ca="1" si="10"/>
        <v>0</v>
      </c>
      <c r="DK21" s="37">
        <f t="shared" ca="1" si="10"/>
        <v>0</v>
      </c>
      <c r="DL21" s="37">
        <f t="shared" ca="1" si="10"/>
        <v>0</v>
      </c>
      <c r="DM21" s="37">
        <f t="shared" ca="1" si="10"/>
        <v>0</v>
      </c>
      <c r="DN21" s="37">
        <f t="shared" ca="1" si="10"/>
        <v>0</v>
      </c>
      <c r="DO21" s="37">
        <f t="shared" ca="1" si="7"/>
        <v>0</v>
      </c>
      <c r="DP21" s="37">
        <f t="shared" ca="1" si="7"/>
        <v>0</v>
      </c>
      <c r="DQ21" s="37">
        <f t="shared" ca="1" si="7"/>
        <v>0</v>
      </c>
      <c r="DR21" s="37">
        <f t="shared" ca="1" si="7"/>
        <v>0</v>
      </c>
      <c r="DS21" s="37">
        <f t="shared" ca="1" si="7"/>
        <v>0</v>
      </c>
      <c r="DT21" s="37">
        <f t="shared" ca="1" si="7"/>
        <v>0</v>
      </c>
      <c r="DU21" s="37">
        <f t="shared" ca="1" si="7"/>
        <v>0</v>
      </c>
      <c r="DV21" s="37">
        <f t="shared" ca="1" si="7"/>
        <v>0</v>
      </c>
      <c r="DW21" s="37">
        <f t="shared" ca="1" si="7"/>
        <v>0</v>
      </c>
      <c r="DX21" s="37">
        <f t="shared" ca="1" si="7"/>
        <v>0</v>
      </c>
      <c r="DY21" s="37">
        <f t="shared" ca="1" si="7"/>
        <v>0</v>
      </c>
      <c r="DZ21" s="37">
        <f t="shared" ca="1" si="7"/>
        <v>0</v>
      </c>
      <c r="EA21" s="37">
        <f t="shared" ca="1" si="7"/>
        <v>0</v>
      </c>
      <c r="EB21" s="37">
        <f t="shared" ca="1" si="7"/>
        <v>0</v>
      </c>
      <c r="EC21" s="37">
        <f t="shared" ca="1" si="7"/>
        <v>0</v>
      </c>
      <c r="ED21" s="37">
        <f t="shared" ca="1" si="11"/>
        <v>0</v>
      </c>
      <c r="EE21" s="37">
        <f t="shared" ca="1" si="11"/>
        <v>0</v>
      </c>
      <c r="EF21" s="37">
        <f t="shared" ca="1" si="11"/>
        <v>0</v>
      </c>
      <c r="EG21" s="37">
        <f t="shared" ca="1" si="11"/>
        <v>0</v>
      </c>
      <c r="EH21" s="37">
        <f t="shared" ca="1" si="11"/>
        <v>0</v>
      </c>
      <c r="EI21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1" s="38">
        <f>IFERROR(SuiviExec[[#This Row],[PAT CA (€)]]/SuiviExec[[#This Row],[CA Vendu initial (€)]],0)</f>
        <v>1</v>
      </c>
      <c r="EK21" s="39"/>
      <c r="EL21" s="40" t="str">
        <f>IF(OR(ISBLANK(SuiviExec[[#This Row],[Budget MO (€)]]),ISBLANK(SuiviExec[[#This Row],[Budget Matériel (€)]]),ISBLANK(SuiviExec[[#This Row],[Budget ST (€)]])),"Budget non détaillé","")</f>
        <v/>
      </c>
    </row>
    <row r="22" spans="1:142" ht="15.75" x14ac:dyDescent="0.25">
      <c r="A22" s="14" t="s">
        <v>227</v>
      </c>
      <c r="B22" s="14" t="s">
        <v>169</v>
      </c>
      <c r="C22" s="14" t="s">
        <v>144</v>
      </c>
      <c r="D22" s="14" t="s">
        <v>152</v>
      </c>
      <c r="E22" s="14" t="s">
        <v>152</v>
      </c>
      <c r="F22" s="14" t="s">
        <v>146</v>
      </c>
      <c r="G22" s="15">
        <v>44197</v>
      </c>
      <c r="H22" s="16" t="s">
        <v>193</v>
      </c>
      <c r="I22" s="16" t="s">
        <v>228</v>
      </c>
      <c r="J22" s="17">
        <v>710</v>
      </c>
      <c r="K22" s="17">
        <v>292</v>
      </c>
      <c r="L22" s="18">
        <f>IFERROR(SuiviExec[[#This Row],[Marge Vendue Initiale (€)]]/SuiviExec[[#This Row],[CA Vendu initial (€)]],"")</f>
        <v>0.41126760563380282</v>
      </c>
      <c r="M22" s="17"/>
      <c r="N22" s="19">
        <v>7</v>
      </c>
      <c r="O22" s="20">
        <f>SuiviExec[[#This Row],[Budget MO Etude (€)]]+SuiviExec[[#This Row],[Budget MO Agent (heure)]]*Taux_Horaire_Agent</f>
        <v>203</v>
      </c>
      <c r="P22" s="17">
        <v>215</v>
      </c>
      <c r="Q22" s="17">
        <v>0</v>
      </c>
      <c r="R22" s="21">
        <f>SUM(SuiviExec[[#This Row],[Budget MO (€)]:[Budget ST (€)]])</f>
        <v>418</v>
      </c>
      <c r="S22" s="22">
        <v>44528</v>
      </c>
      <c r="T22" s="22">
        <v>44542</v>
      </c>
      <c r="U22" s="23"/>
      <c r="V22" s="24" cm="1">
        <f t="array" ref="V2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2" s="20">
        <f>IFERROR(SuiviExec[[#This Row],[Réalisé MO Etude (€)]]+SuiviExec[[#This Row],[Réalisé MO Agent (heure)]]*Taux_Horaire_Agent,0)</f>
        <v>0</v>
      </c>
      <c r="X2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2" s="21">
        <f>SUM(SuiviExec[[#This Row],[Réalisé MO (€)]:[Réalisé ST (€)]])</f>
        <v>0</v>
      </c>
      <c r="AA22" s="26">
        <v>0.75</v>
      </c>
      <c r="AB22" s="41"/>
      <c r="AC22" s="41">
        <v>7</v>
      </c>
      <c r="AD22" s="20">
        <f>IFERROR(SuiviExec[[#This Row],[PAT MO Etude (€)]]+SuiviExec[[#This Row],[PAT MO Agent (heure)]]*Taux_Horaire_Agent,0)</f>
        <v>203</v>
      </c>
      <c r="AE22" s="28">
        <f>SuiviExec[[#This Row],[Budget Matériel (€)]]</f>
        <v>215</v>
      </c>
      <c r="AF22" s="28">
        <f>SuiviExec[[#This Row],[Budget ST (€)]]</f>
        <v>0</v>
      </c>
      <c r="AG22" s="21">
        <f>SUM(SuiviExec[[#This Row],[PAT MO (€)]:[PAT ST (€)]])</f>
        <v>418</v>
      </c>
      <c r="AH22" s="28">
        <v>710</v>
      </c>
      <c r="AI22" s="21">
        <f>SuiviExec[[#This Row],[PAT CA (€)]]-SuiviExec[[#This Row],[PAT Coût Total (€)]]</f>
        <v>292</v>
      </c>
      <c r="AJ22" s="18">
        <f>IFERROR(SuiviExec[[#This Row],[PAT Marge (€)]]/SuiviExec[[#This Row],[PAT CA (€)]],"Saisir le PAT")</f>
        <v>0.41126760563380282</v>
      </c>
      <c r="AK22" s="29"/>
      <c r="AL22" s="28"/>
      <c r="AM22" s="29"/>
      <c r="AN22" s="28"/>
      <c r="AO22" s="30">
        <f>SuiviExec[[#This Row],[CA Vendu initial (€)]]*SuiviExec[[#This Row],[Avancement physique du chantier (%)]]</f>
        <v>532.5</v>
      </c>
      <c r="AP22" s="23">
        <v>0</v>
      </c>
      <c r="AQ22" s="20">
        <f>IF(SuiviExec[[#This Row],[Avancement physique du chantier (%)]]=0,0,SuiviExec[[#This Row],[Situation méritée (CA Produit)]]-SuiviExec[[#This Row],[Montant Facturé (€)]])</f>
        <v>532.5</v>
      </c>
      <c r="AR22" s="23">
        <v>0</v>
      </c>
      <c r="AS2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2" s="23">
        <v>0</v>
      </c>
      <c r="AU22" s="20">
        <f>SuiviExec[[#This Row],[Situation méritée (CA Produit)]]-SuiviExec[[#This Row],[CA Année N-1 (2020)]]</f>
        <v>532.5</v>
      </c>
      <c r="AV22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842.13990009850158</v>
      </c>
      <c r="AW22" s="20">
        <f ca="1">SUM(SuiviExec[[#This Row],[Janvier 2022 CA]:[CA &gt; 2023]])</f>
        <v>0</v>
      </c>
      <c r="AX22" s="20">
        <f>SuiviExec[[#This Row],[Situation méritée (CA Produit)]]-SuiviExec[[#This Row],[CA Année N-1 (2020)]]-SuiviExec[[#This Row],[CA 2021 - Réalisé]]</f>
        <v>0</v>
      </c>
      <c r="AY22" s="23">
        <f>SuiviExec[[#This Row],[Avancement physique du chantier (%)]]*SuiviExec[[#This Row],[Budget MO (€)]]</f>
        <v>152.25</v>
      </c>
      <c r="AZ22" s="23">
        <f>SuiviExec[[#This Row],[Avancement physique du chantier (%)]]*SuiviExec[[#This Row],[Budget Matériel (€)]]</f>
        <v>161.25</v>
      </c>
      <c r="BA22" s="23">
        <f>SuiviExec[[#This Row],[Budget ST (€)]]*SuiviExec[[#This Row],[Avancement physique du chantier (%)]]</f>
        <v>0</v>
      </c>
      <c r="BB22" s="20">
        <f>SUM(SuiviExec[[#This Row],[Charges 2021 MO (€)]:[Charges 2021 ST (€)]])</f>
        <v>313.5</v>
      </c>
      <c r="BC22" s="31">
        <v>0</v>
      </c>
      <c r="BD22" s="42">
        <f>SuiviExec[[#This Row],[CA 2021 - Réalisé]]-SuiviExec[[#This Row],[Charges 2021 à date]]</f>
        <v>219</v>
      </c>
      <c r="BE22" s="18">
        <f>IF(SuiviExec[[#This Row],[Avancement physique du chantier (%)]]&gt;0,IFERROR(SuiviExec[[#This Row],[Marge 2021 à date]]/SuiviExec[[#This Row],[CA 2021 - Réalisé]],""),"")</f>
        <v>0.41126760563380282</v>
      </c>
      <c r="BF2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2" s="29"/>
      <c r="BH22" s="33">
        <f>(SuiviExec[[#This Row],[Budget MO Etude (€)]]/Taux_Horaire_Etude+SuiviExec[[#This Row],[Budget MO Agent (heure)]])</f>
        <v>7</v>
      </c>
      <c r="BI22" s="34">
        <f ca="1">SuiviExec[[#This Row],[Estimation Budget MO (heures)]]-SUM(SuiviExec[[#This Row],[MO &lt; 2021]:[MO &gt; 2023]])</f>
        <v>0</v>
      </c>
      <c r="BJ22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2" s="19">
        <f t="shared" ca="1" si="8"/>
        <v>0</v>
      </c>
      <c r="BL22" s="19">
        <f t="shared" ca="1" si="8"/>
        <v>0</v>
      </c>
      <c r="BM22" s="19">
        <f t="shared" ca="1" si="8"/>
        <v>0</v>
      </c>
      <c r="BN22" s="19">
        <f t="shared" ca="1" si="8"/>
        <v>0</v>
      </c>
      <c r="BO22" s="19">
        <f t="shared" ca="1" si="8"/>
        <v>0</v>
      </c>
      <c r="BP22" s="19">
        <f t="shared" ca="1" si="8"/>
        <v>0</v>
      </c>
      <c r="BQ22" s="19">
        <f t="shared" ca="1" si="8"/>
        <v>0</v>
      </c>
      <c r="BR22" s="19">
        <f t="shared" ca="1" si="8"/>
        <v>0</v>
      </c>
      <c r="BS22" s="19">
        <f t="shared" ca="1" si="8"/>
        <v>0</v>
      </c>
      <c r="BT22" s="19">
        <f t="shared" ca="1" si="8"/>
        <v>0</v>
      </c>
      <c r="BU22" s="19">
        <f t="shared" ca="1" si="8"/>
        <v>3.5</v>
      </c>
      <c r="BV22" s="19">
        <f t="shared" ca="1" si="8"/>
        <v>3.5</v>
      </c>
      <c r="BW22" s="19">
        <f t="shared" ca="1" si="8"/>
        <v>0</v>
      </c>
      <c r="BX22" s="19">
        <f t="shared" ca="1" si="8"/>
        <v>0</v>
      </c>
      <c r="BY22" s="19">
        <f t="shared" ca="1" si="8"/>
        <v>0</v>
      </c>
      <c r="BZ22" s="19">
        <f t="shared" ca="1" si="8"/>
        <v>0</v>
      </c>
      <c r="CA22" s="19">
        <f t="shared" ca="1" si="6"/>
        <v>0</v>
      </c>
      <c r="CB22" s="19">
        <f t="shared" ca="1" si="6"/>
        <v>0</v>
      </c>
      <c r="CC22" s="19">
        <f t="shared" ca="1" si="6"/>
        <v>0</v>
      </c>
      <c r="CD22" s="19">
        <f t="shared" ca="1" si="6"/>
        <v>0</v>
      </c>
      <c r="CE22" s="19">
        <f t="shared" ca="1" si="6"/>
        <v>0</v>
      </c>
      <c r="CF22" s="19">
        <f t="shared" ca="1" si="6"/>
        <v>0</v>
      </c>
      <c r="CG22" s="19">
        <f t="shared" ca="1" si="6"/>
        <v>0</v>
      </c>
      <c r="CH22" s="19">
        <f t="shared" ca="1" si="6"/>
        <v>0</v>
      </c>
      <c r="CI22" s="19">
        <f t="shared" ca="1" si="6"/>
        <v>0</v>
      </c>
      <c r="CJ22" s="19">
        <f t="shared" ca="1" si="6"/>
        <v>0</v>
      </c>
      <c r="CK22" s="19">
        <f t="shared" ca="1" si="6"/>
        <v>0</v>
      </c>
      <c r="CL22" s="19">
        <f t="shared" ca="1" si="6"/>
        <v>0</v>
      </c>
      <c r="CM22" s="19">
        <f t="shared" ca="1" si="6"/>
        <v>0</v>
      </c>
      <c r="CN22" s="19">
        <f t="shared" ca="1" si="6"/>
        <v>0</v>
      </c>
      <c r="CO22" s="19">
        <f t="shared" ca="1" si="6"/>
        <v>0</v>
      </c>
      <c r="CP22" s="19">
        <f t="shared" ca="1" si="9"/>
        <v>0</v>
      </c>
      <c r="CQ22" s="19">
        <f t="shared" ca="1" si="9"/>
        <v>0</v>
      </c>
      <c r="CR22" s="19">
        <f t="shared" ca="1" si="9"/>
        <v>0</v>
      </c>
      <c r="CS22" s="19">
        <f t="shared" ca="1" si="9"/>
        <v>0</v>
      </c>
      <c r="CT22" s="19">
        <f t="shared" ca="1" si="9"/>
        <v>0</v>
      </c>
      <c r="CU22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2" s="35"/>
      <c r="CW22" s="36">
        <f ca="1">SuiviExec[[#This Row],[CA Vendu initial (€)]]-SUM(SuiviExec[[#This Row],[CA &lt; 2021]:[CA &gt; 2023]])</f>
        <v>0</v>
      </c>
      <c r="CX2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2" s="37">
        <f t="shared" ca="1" si="10"/>
        <v>0</v>
      </c>
      <c r="CZ22" s="37">
        <f t="shared" ca="1" si="10"/>
        <v>0</v>
      </c>
      <c r="DA22" s="37">
        <f t="shared" ca="1" si="10"/>
        <v>0</v>
      </c>
      <c r="DB22" s="37">
        <f t="shared" ca="1" si="10"/>
        <v>0</v>
      </c>
      <c r="DC22" s="37">
        <f t="shared" ca="1" si="10"/>
        <v>0</v>
      </c>
      <c r="DD22" s="37">
        <f t="shared" ca="1" si="10"/>
        <v>0</v>
      </c>
      <c r="DE22" s="37">
        <f t="shared" ca="1" si="10"/>
        <v>0</v>
      </c>
      <c r="DF22" s="37">
        <f t="shared" ca="1" si="10"/>
        <v>0</v>
      </c>
      <c r="DG22" s="37">
        <f t="shared" ca="1" si="10"/>
        <v>0</v>
      </c>
      <c r="DH22" s="37">
        <f t="shared" ca="1" si="10"/>
        <v>0</v>
      </c>
      <c r="DI22" s="37">
        <f t="shared" ca="1" si="10"/>
        <v>355</v>
      </c>
      <c r="DJ22" s="37">
        <f t="shared" ca="1" si="10"/>
        <v>355</v>
      </c>
      <c r="DK22" s="37">
        <f t="shared" ca="1" si="10"/>
        <v>0</v>
      </c>
      <c r="DL22" s="37">
        <f t="shared" ca="1" si="10"/>
        <v>0</v>
      </c>
      <c r="DM22" s="37">
        <f t="shared" ca="1" si="10"/>
        <v>0</v>
      </c>
      <c r="DN22" s="37">
        <f t="shared" ca="1" si="10"/>
        <v>0</v>
      </c>
      <c r="DO22" s="37">
        <f t="shared" ca="1" si="7"/>
        <v>0</v>
      </c>
      <c r="DP22" s="37">
        <f t="shared" ca="1" si="7"/>
        <v>0</v>
      </c>
      <c r="DQ22" s="37">
        <f t="shared" ca="1" si="7"/>
        <v>0</v>
      </c>
      <c r="DR22" s="37">
        <f t="shared" ca="1" si="7"/>
        <v>0</v>
      </c>
      <c r="DS22" s="37">
        <f t="shared" ca="1" si="7"/>
        <v>0</v>
      </c>
      <c r="DT22" s="37">
        <f t="shared" ca="1" si="7"/>
        <v>0</v>
      </c>
      <c r="DU22" s="37">
        <f t="shared" ca="1" si="7"/>
        <v>0</v>
      </c>
      <c r="DV22" s="37">
        <f t="shared" ca="1" si="7"/>
        <v>0</v>
      </c>
      <c r="DW22" s="37">
        <f t="shared" ca="1" si="7"/>
        <v>0</v>
      </c>
      <c r="DX22" s="37">
        <f t="shared" ca="1" si="7"/>
        <v>0</v>
      </c>
      <c r="DY22" s="37">
        <f t="shared" ca="1" si="7"/>
        <v>0</v>
      </c>
      <c r="DZ22" s="37">
        <f t="shared" ca="1" si="7"/>
        <v>0</v>
      </c>
      <c r="EA22" s="37">
        <f t="shared" ca="1" si="7"/>
        <v>0</v>
      </c>
      <c r="EB22" s="37">
        <f t="shared" ca="1" si="7"/>
        <v>0</v>
      </c>
      <c r="EC22" s="37">
        <f t="shared" ca="1" si="7"/>
        <v>0</v>
      </c>
      <c r="ED22" s="37">
        <f t="shared" ca="1" si="11"/>
        <v>0</v>
      </c>
      <c r="EE22" s="37">
        <f t="shared" ca="1" si="11"/>
        <v>0</v>
      </c>
      <c r="EF22" s="37">
        <f t="shared" ca="1" si="11"/>
        <v>0</v>
      </c>
      <c r="EG22" s="37">
        <f t="shared" ca="1" si="11"/>
        <v>0</v>
      </c>
      <c r="EH22" s="37">
        <f t="shared" ca="1" si="11"/>
        <v>0</v>
      </c>
      <c r="EI2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2" s="38">
        <f>IFERROR(SuiviExec[[#This Row],[PAT CA (€)]]/SuiviExec[[#This Row],[CA Vendu initial (€)]],0)</f>
        <v>1</v>
      </c>
      <c r="EK22" s="39"/>
      <c r="EL22" s="40" t="str">
        <f>IF(OR(ISBLANK(SuiviExec[[#This Row],[Budget MO (€)]]),ISBLANK(SuiviExec[[#This Row],[Budget Matériel (€)]]),ISBLANK(SuiviExec[[#This Row],[Budget ST (€)]])),"Budget non détaillé","")</f>
        <v/>
      </c>
    </row>
    <row r="23" spans="1:142" ht="15.75" x14ac:dyDescent="0.25">
      <c r="A23" s="14" t="s">
        <v>229</v>
      </c>
      <c r="B23" s="14" t="s">
        <v>230</v>
      </c>
      <c r="C23" s="14" t="s">
        <v>144</v>
      </c>
      <c r="D23" s="14" t="s">
        <v>144</v>
      </c>
      <c r="E23" s="14" t="s">
        <v>174</v>
      </c>
      <c r="F23" s="14" t="s">
        <v>146</v>
      </c>
      <c r="G23" s="15">
        <v>44197</v>
      </c>
      <c r="H23" s="16" t="s">
        <v>166</v>
      </c>
      <c r="I23" s="16" t="s">
        <v>231</v>
      </c>
      <c r="J23" s="17">
        <v>66949</v>
      </c>
      <c r="K23" s="17">
        <v>14462</v>
      </c>
      <c r="L23" s="18">
        <f>IFERROR(SuiviExec[[#This Row],[Marge Vendue Initiale (€)]]/SuiviExec[[#This Row],[CA Vendu initial (€)]],"")</f>
        <v>0.21601517573078013</v>
      </c>
      <c r="M23" s="17"/>
      <c r="N23" s="19">
        <v>67</v>
      </c>
      <c r="O23" s="20">
        <f>SuiviExec[[#This Row],[Budget MO Etude (€)]]+SuiviExec[[#This Row],[Budget MO Agent (heure)]]*Taux_Horaire_Agent</f>
        <v>1943</v>
      </c>
      <c r="P23" s="17">
        <v>42000</v>
      </c>
      <c r="Q23" s="17">
        <v>8544</v>
      </c>
      <c r="R23" s="21">
        <f>SUM(SuiviExec[[#This Row],[Budget MO (€)]:[Budget ST (€)]])</f>
        <v>52487</v>
      </c>
      <c r="S23" s="22">
        <v>44228</v>
      </c>
      <c r="T23" s="22">
        <v>44557</v>
      </c>
      <c r="U23" s="23">
        <v>360</v>
      </c>
      <c r="V23" s="24" cm="1">
        <f t="array" ref="V2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3" s="20">
        <f>IFERROR(SuiviExec[[#This Row],[Réalisé MO Etude (€)]]+SuiviExec[[#This Row],[Réalisé MO Agent (heure)]]*Taux_Horaire_Agent,0)</f>
        <v>360</v>
      </c>
      <c r="X2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3" s="21">
        <f>SUM(SuiviExec[[#This Row],[Réalisé MO (€)]:[Réalisé ST (€)]])</f>
        <v>360</v>
      </c>
      <c r="AA23" s="26">
        <v>0.8</v>
      </c>
      <c r="AB23" s="41"/>
      <c r="AC23" s="41">
        <v>67</v>
      </c>
      <c r="AD23" s="20">
        <f>IFERROR(SuiviExec[[#This Row],[PAT MO Etude (€)]]+SuiviExec[[#This Row],[PAT MO Agent (heure)]]*Taux_Horaire_Agent,0)</f>
        <v>1943</v>
      </c>
      <c r="AE23" s="28">
        <f>SuiviExec[[#This Row],[Budget Matériel (€)]]</f>
        <v>42000</v>
      </c>
      <c r="AF23" s="28">
        <f>SuiviExec[[#This Row],[Budget ST (€)]]</f>
        <v>8544</v>
      </c>
      <c r="AG23" s="21">
        <f>SUM(SuiviExec[[#This Row],[PAT MO (€)]:[PAT ST (€)]])</f>
        <v>52487</v>
      </c>
      <c r="AH23" s="28">
        <v>66949</v>
      </c>
      <c r="AI23" s="21">
        <f>SuiviExec[[#This Row],[PAT CA (€)]]-SuiviExec[[#This Row],[PAT Coût Total (€)]]</f>
        <v>14462</v>
      </c>
      <c r="AJ23" s="18">
        <f>IFERROR(SuiviExec[[#This Row],[PAT Marge (€)]]/SuiviExec[[#This Row],[PAT CA (€)]],"Saisir le PAT")</f>
        <v>0.21601517573078013</v>
      </c>
      <c r="AK23" s="29"/>
      <c r="AL23" s="28"/>
      <c r="AM23" s="29"/>
      <c r="AN23" s="28"/>
      <c r="AO23" s="30">
        <f>SuiviExec[[#This Row],[CA Vendu initial (€)]]*SuiviExec[[#This Row],[Avancement physique du chantier (%)]]</f>
        <v>53559.200000000004</v>
      </c>
      <c r="AP23" s="23">
        <v>19690</v>
      </c>
      <c r="AQ23" s="20">
        <f>IF(SuiviExec[[#This Row],[Avancement physique du chantier (%)]]=0,0,SuiviExec[[#This Row],[Situation méritée (CA Produit)]]-SuiviExec[[#This Row],[Montant Facturé (€)]])</f>
        <v>33869.200000000004</v>
      </c>
      <c r="AR23" s="23">
        <v>0</v>
      </c>
      <c r="AS2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3" s="23">
        <v>0</v>
      </c>
      <c r="AU23" s="20">
        <f>SuiviExec[[#This Row],[Situation méritée (CA Produit)]]-SuiviExec[[#This Row],[CA Année N-1 (2020)]]</f>
        <v>53559.200000000004</v>
      </c>
      <c r="AV23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5530.7636774490493</v>
      </c>
      <c r="AW23" s="20">
        <f ca="1">SUM(SuiviExec[[#This Row],[Janvier 2022 CA]:[CA &gt; 2023]])</f>
        <v>0</v>
      </c>
      <c r="AX23" s="20">
        <f>SuiviExec[[#This Row],[Situation méritée (CA Produit)]]-SuiviExec[[#This Row],[CA Année N-1 (2020)]]-SuiviExec[[#This Row],[CA 2021 - Réalisé]]</f>
        <v>0</v>
      </c>
      <c r="AY23" s="23">
        <f>SuiviExec[[#This Row],[Avancement physique du chantier (%)]]*SuiviExec[[#This Row],[Budget MO (€)]]</f>
        <v>1554.4</v>
      </c>
      <c r="AZ23" s="23">
        <f>SuiviExec[[#This Row],[Avancement physique du chantier (%)]]*SuiviExec[[#This Row],[Budget Matériel (€)]]</f>
        <v>33600</v>
      </c>
      <c r="BA23" s="23">
        <f>SuiviExec[[#This Row],[Budget ST (€)]]*SuiviExec[[#This Row],[Avancement physique du chantier (%)]]</f>
        <v>6835.2000000000007</v>
      </c>
      <c r="BB23" s="20">
        <f>SUM(SuiviExec[[#This Row],[Charges 2021 MO (€)]:[Charges 2021 ST (€)]])</f>
        <v>41989.600000000006</v>
      </c>
      <c r="BC23" s="31">
        <v>0</v>
      </c>
      <c r="BD23" s="42">
        <f>SuiviExec[[#This Row],[CA 2021 - Réalisé]]-SuiviExec[[#This Row],[Charges 2021 à date]]</f>
        <v>11569.599999999999</v>
      </c>
      <c r="BE23" s="18">
        <f>IF(SuiviExec[[#This Row],[Avancement physique du chantier (%)]]&gt;0,IFERROR(SuiviExec[[#This Row],[Marge 2021 à date]]/SuiviExec[[#This Row],[CA 2021 - Réalisé]],""),"")</f>
        <v>0.21601517573078011</v>
      </c>
      <c r="BF2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3" s="29"/>
      <c r="BH23" s="33">
        <f>(SuiviExec[[#This Row],[Budget MO Etude (€)]]/Taux_Horaire_Etude+SuiviExec[[#This Row],[Budget MO Agent (heure)]])</f>
        <v>67</v>
      </c>
      <c r="BI23" s="34">
        <f ca="1">SuiviExec[[#This Row],[Estimation Budget MO (heures)]]-SUM(SuiviExec[[#This Row],[MO &lt; 2021]:[MO &gt; 2023]])</f>
        <v>0</v>
      </c>
      <c r="BJ23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3" s="19">
        <f t="shared" ca="1" si="8"/>
        <v>0</v>
      </c>
      <c r="BL23" s="19">
        <f t="shared" ca="1" si="8"/>
        <v>6.0909090909090908</v>
      </c>
      <c r="BM23" s="19">
        <f t="shared" ca="1" si="8"/>
        <v>6.0909090909090908</v>
      </c>
      <c r="BN23" s="19">
        <f t="shared" ca="1" si="8"/>
        <v>6.0909090909090908</v>
      </c>
      <c r="BO23" s="19">
        <f t="shared" ca="1" si="8"/>
        <v>6.0909090909090908</v>
      </c>
      <c r="BP23" s="19">
        <f t="shared" ca="1" si="8"/>
        <v>6.0909090909090908</v>
      </c>
      <c r="BQ23" s="19">
        <f t="shared" ca="1" si="8"/>
        <v>6.0909090909090908</v>
      </c>
      <c r="BR23" s="19">
        <f t="shared" ca="1" si="8"/>
        <v>6.0909090909090908</v>
      </c>
      <c r="BS23" s="19">
        <f t="shared" ca="1" si="8"/>
        <v>6.0909090909090908</v>
      </c>
      <c r="BT23" s="19">
        <f t="shared" ca="1" si="8"/>
        <v>6.0909090909090908</v>
      </c>
      <c r="BU23" s="19">
        <f t="shared" ca="1" si="8"/>
        <v>6.0909090909090908</v>
      </c>
      <c r="BV23" s="19">
        <f t="shared" ca="1" si="8"/>
        <v>6.0909090909090908</v>
      </c>
      <c r="BW23" s="19">
        <f t="shared" ca="1" si="8"/>
        <v>0</v>
      </c>
      <c r="BX23" s="19">
        <f t="shared" ca="1" si="8"/>
        <v>0</v>
      </c>
      <c r="BY23" s="19">
        <f t="shared" ca="1" si="8"/>
        <v>0</v>
      </c>
      <c r="BZ23" s="19">
        <f t="shared" ca="1" si="8"/>
        <v>0</v>
      </c>
      <c r="CA23" s="19">
        <f t="shared" ca="1" si="6"/>
        <v>0</v>
      </c>
      <c r="CB23" s="19">
        <f t="shared" ca="1" si="6"/>
        <v>0</v>
      </c>
      <c r="CC23" s="19">
        <f t="shared" ca="1" si="6"/>
        <v>0</v>
      </c>
      <c r="CD23" s="19">
        <f t="shared" ca="1" si="6"/>
        <v>0</v>
      </c>
      <c r="CE23" s="19">
        <f t="shared" ca="1" si="6"/>
        <v>0</v>
      </c>
      <c r="CF23" s="19">
        <f t="shared" ca="1" si="6"/>
        <v>0</v>
      </c>
      <c r="CG23" s="19">
        <f t="shared" ca="1" si="6"/>
        <v>0</v>
      </c>
      <c r="CH23" s="19">
        <f t="shared" ca="1" si="6"/>
        <v>0</v>
      </c>
      <c r="CI23" s="19">
        <f t="shared" ca="1" si="6"/>
        <v>0</v>
      </c>
      <c r="CJ23" s="19">
        <f t="shared" ca="1" si="6"/>
        <v>0</v>
      </c>
      <c r="CK23" s="19">
        <f t="shared" ca="1" si="6"/>
        <v>0</v>
      </c>
      <c r="CL23" s="19">
        <f t="shared" ca="1" si="6"/>
        <v>0</v>
      </c>
      <c r="CM23" s="19">
        <f t="shared" ca="1" si="6"/>
        <v>0</v>
      </c>
      <c r="CN23" s="19">
        <f t="shared" ca="1" si="6"/>
        <v>0</v>
      </c>
      <c r="CO23" s="19">
        <f t="shared" ca="1" si="6"/>
        <v>0</v>
      </c>
      <c r="CP23" s="19">
        <f t="shared" ca="1" si="9"/>
        <v>0</v>
      </c>
      <c r="CQ23" s="19">
        <f t="shared" ca="1" si="9"/>
        <v>0</v>
      </c>
      <c r="CR23" s="19">
        <f t="shared" ca="1" si="9"/>
        <v>0</v>
      </c>
      <c r="CS23" s="19">
        <f t="shared" ca="1" si="9"/>
        <v>0</v>
      </c>
      <c r="CT23" s="19">
        <f t="shared" ca="1" si="9"/>
        <v>0</v>
      </c>
      <c r="CU23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3" s="35"/>
      <c r="CW23" s="36">
        <f ca="1">SuiviExec[[#This Row],[CA Vendu initial (€)]]-SUM(SuiviExec[[#This Row],[CA &lt; 2021]:[CA &gt; 2023]])</f>
        <v>0</v>
      </c>
      <c r="CX2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3" s="37">
        <f t="shared" ca="1" si="10"/>
        <v>0</v>
      </c>
      <c r="CZ23" s="37">
        <f t="shared" ca="1" si="10"/>
        <v>6086.272727272727</v>
      </c>
      <c r="DA23" s="37">
        <f t="shared" ca="1" si="10"/>
        <v>6086.272727272727</v>
      </c>
      <c r="DB23" s="37">
        <f t="shared" ca="1" si="10"/>
        <v>6086.272727272727</v>
      </c>
      <c r="DC23" s="37">
        <f t="shared" ca="1" si="10"/>
        <v>6086.272727272727</v>
      </c>
      <c r="DD23" s="37">
        <f t="shared" ca="1" si="10"/>
        <v>6086.272727272727</v>
      </c>
      <c r="DE23" s="37">
        <f t="shared" ca="1" si="10"/>
        <v>6086.272727272727</v>
      </c>
      <c r="DF23" s="37">
        <f t="shared" ca="1" si="10"/>
        <v>6086.272727272727</v>
      </c>
      <c r="DG23" s="37">
        <f t="shared" ca="1" si="10"/>
        <v>6086.272727272727</v>
      </c>
      <c r="DH23" s="37">
        <f t="shared" ca="1" si="10"/>
        <v>6086.272727272727</v>
      </c>
      <c r="DI23" s="37">
        <f t="shared" ca="1" si="10"/>
        <v>6086.272727272727</v>
      </c>
      <c r="DJ23" s="37">
        <f t="shared" ca="1" si="10"/>
        <v>6086.272727272727</v>
      </c>
      <c r="DK23" s="37">
        <f t="shared" ca="1" si="10"/>
        <v>0</v>
      </c>
      <c r="DL23" s="37">
        <f t="shared" ca="1" si="10"/>
        <v>0</v>
      </c>
      <c r="DM23" s="37">
        <f t="shared" ca="1" si="10"/>
        <v>0</v>
      </c>
      <c r="DN23" s="37">
        <f t="shared" ca="1" si="10"/>
        <v>0</v>
      </c>
      <c r="DO23" s="37">
        <f t="shared" ca="1" si="7"/>
        <v>0</v>
      </c>
      <c r="DP23" s="37">
        <f t="shared" ca="1" si="7"/>
        <v>0</v>
      </c>
      <c r="DQ23" s="37">
        <f t="shared" ca="1" si="7"/>
        <v>0</v>
      </c>
      <c r="DR23" s="37">
        <f t="shared" ca="1" si="7"/>
        <v>0</v>
      </c>
      <c r="DS23" s="37">
        <f t="shared" ca="1" si="7"/>
        <v>0</v>
      </c>
      <c r="DT23" s="37">
        <f t="shared" ca="1" si="7"/>
        <v>0</v>
      </c>
      <c r="DU23" s="37">
        <f t="shared" ca="1" si="7"/>
        <v>0</v>
      </c>
      <c r="DV23" s="37">
        <f t="shared" ca="1" si="7"/>
        <v>0</v>
      </c>
      <c r="DW23" s="37">
        <f t="shared" ca="1" si="7"/>
        <v>0</v>
      </c>
      <c r="DX23" s="37">
        <f t="shared" ca="1" si="7"/>
        <v>0</v>
      </c>
      <c r="DY23" s="37">
        <f t="shared" ca="1" si="7"/>
        <v>0</v>
      </c>
      <c r="DZ23" s="37">
        <f t="shared" ca="1" si="7"/>
        <v>0</v>
      </c>
      <c r="EA23" s="37">
        <f t="shared" ca="1" si="7"/>
        <v>0</v>
      </c>
      <c r="EB23" s="37">
        <f t="shared" ca="1" si="7"/>
        <v>0</v>
      </c>
      <c r="EC23" s="37">
        <f t="shared" ca="1" si="7"/>
        <v>0</v>
      </c>
      <c r="ED23" s="37">
        <f t="shared" ca="1" si="11"/>
        <v>0</v>
      </c>
      <c r="EE23" s="37">
        <f t="shared" ca="1" si="11"/>
        <v>0</v>
      </c>
      <c r="EF23" s="37">
        <f t="shared" ca="1" si="11"/>
        <v>0</v>
      </c>
      <c r="EG23" s="37">
        <f t="shared" ca="1" si="11"/>
        <v>0</v>
      </c>
      <c r="EH23" s="37">
        <f t="shared" ca="1" si="11"/>
        <v>0</v>
      </c>
      <c r="EI2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3" s="38">
        <f>IFERROR(SuiviExec[[#This Row],[PAT CA (€)]]/SuiviExec[[#This Row],[CA Vendu initial (€)]],0)</f>
        <v>1</v>
      </c>
      <c r="EK23" s="39"/>
      <c r="EL23" s="40" t="str">
        <f>IF(OR(ISBLANK(SuiviExec[[#This Row],[Budget MO (€)]]),ISBLANK(SuiviExec[[#This Row],[Budget Matériel (€)]]),ISBLANK(SuiviExec[[#This Row],[Budget ST (€)]])),"Budget non détaillé","")</f>
        <v/>
      </c>
    </row>
    <row r="24" spans="1:142" ht="15.75" x14ac:dyDescent="0.25">
      <c r="A24" s="14" t="s">
        <v>232</v>
      </c>
      <c r="B24" s="14" t="s">
        <v>233</v>
      </c>
      <c r="C24" s="14" t="s">
        <v>144</v>
      </c>
      <c r="D24" s="14" t="s">
        <v>174</v>
      </c>
      <c r="E24" s="14" t="s">
        <v>174</v>
      </c>
      <c r="F24" s="14" t="s">
        <v>146</v>
      </c>
      <c r="G24" s="15">
        <v>44197</v>
      </c>
      <c r="H24" s="16" t="s">
        <v>234</v>
      </c>
      <c r="I24" s="16" t="s">
        <v>235</v>
      </c>
      <c r="J24" s="17">
        <v>100760</v>
      </c>
      <c r="K24" s="17">
        <v>26512</v>
      </c>
      <c r="L24" s="18">
        <f>IFERROR(SuiviExec[[#This Row],[Marge Vendue Initiale (€)]]/SuiviExec[[#This Row],[CA Vendu initial (€)]],"")</f>
        <v>0.26312028582770941</v>
      </c>
      <c r="M24" s="17"/>
      <c r="N24" s="19">
        <v>230</v>
      </c>
      <c r="O24" s="20">
        <f>SuiviExec[[#This Row],[Budget MO Etude (€)]]+SuiviExec[[#This Row],[Budget MO Agent (heure)]]*Taux_Horaire_Agent</f>
        <v>6670</v>
      </c>
      <c r="P24" s="17">
        <v>64127.6</v>
      </c>
      <c r="Q24" s="17">
        <v>3450.4</v>
      </c>
      <c r="R24" s="21">
        <f>SUM(SuiviExec[[#This Row],[Budget MO (€)]:[Budget ST (€)]])</f>
        <v>74248</v>
      </c>
      <c r="S24" s="22">
        <v>44378</v>
      </c>
      <c r="T24" s="22">
        <v>44504</v>
      </c>
      <c r="U24" s="23"/>
      <c r="V24" s="24" cm="1">
        <f t="array" ref="V2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4" s="20">
        <f>IFERROR(SuiviExec[[#This Row],[Réalisé MO Etude (€)]]+SuiviExec[[#This Row],[Réalisé MO Agent (heure)]]*Taux_Horaire_Agent,0)</f>
        <v>0</v>
      </c>
      <c r="X2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4" s="21">
        <f>SUM(SuiviExec[[#This Row],[Réalisé MO (€)]:[Réalisé ST (€)]])</f>
        <v>0</v>
      </c>
      <c r="AA24" s="26">
        <v>0.95</v>
      </c>
      <c r="AB24" s="41"/>
      <c r="AC24" s="41">
        <v>230</v>
      </c>
      <c r="AD24" s="20">
        <f>IFERROR(SuiviExec[[#This Row],[PAT MO Etude (€)]]+SuiviExec[[#This Row],[PAT MO Agent (heure)]]*Taux_Horaire_Agent,0)</f>
        <v>6670</v>
      </c>
      <c r="AE24" s="28">
        <f>SuiviExec[[#This Row],[Budget Matériel (€)]]</f>
        <v>64127.6</v>
      </c>
      <c r="AF24" s="28">
        <f>SuiviExec[[#This Row],[Budget ST (€)]]</f>
        <v>3450.4</v>
      </c>
      <c r="AG24" s="21">
        <f>SUM(SuiviExec[[#This Row],[PAT MO (€)]:[PAT ST (€)]])</f>
        <v>74248</v>
      </c>
      <c r="AH24" s="28">
        <v>100760</v>
      </c>
      <c r="AI24" s="21">
        <f>SuiviExec[[#This Row],[PAT CA (€)]]-SuiviExec[[#This Row],[PAT Coût Total (€)]]</f>
        <v>26512</v>
      </c>
      <c r="AJ24" s="18">
        <f>IFERROR(SuiviExec[[#This Row],[PAT Marge (€)]]/SuiviExec[[#This Row],[PAT CA (€)]],"Saisir le PAT")</f>
        <v>0.26312028582770941</v>
      </c>
      <c r="AK24" s="29" t="s">
        <v>236</v>
      </c>
      <c r="AL24" s="28"/>
      <c r="AM24" s="29"/>
      <c r="AN24" s="28"/>
      <c r="AO24" s="30">
        <f>SuiviExec[[#This Row],[CA Vendu initial (€)]]*SuiviExec[[#This Row],[Avancement physique du chantier (%)]]</f>
        <v>95722</v>
      </c>
      <c r="AP24" s="23">
        <v>92.7</v>
      </c>
      <c r="AQ24" s="20">
        <f>IF(SuiviExec[[#This Row],[Avancement physique du chantier (%)]]=0,0,SuiviExec[[#This Row],[Situation méritée (CA Produit)]]-SuiviExec[[#This Row],[Montant Facturé (€)]])</f>
        <v>95629.3</v>
      </c>
      <c r="AR24" s="23">
        <v>0</v>
      </c>
      <c r="AS2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4" s="23">
        <v>0</v>
      </c>
      <c r="AU24" s="20">
        <f>SuiviExec[[#This Row],[Situation méritée (CA Produit)]]-SuiviExec[[#This Row],[CA Année N-1 (2020)]]</f>
        <v>95722</v>
      </c>
      <c r="AV24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82595.131659217266</v>
      </c>
      <c r="AW24" s="20">
        <f ca="1">SUM(SuiviExec[[#This Row],[Janvier 2022 CA]:[CA &gt; 2023]])</f>
        <v>0</v>
      </c>
      <c r="AX24" s="20">
        <f>SuiviExec[[#This Row],[Situation méritée (CA Produit)]]-SuiviExec[[#This Row],[CA Année N-1 (2020)]]-SuiviExec[[#This Row],[CA 2021 - Réalisé]]</f>
        <v>0</v>
      </c>
      <c r="AY24" s="23">
        <f>SuiviExec[[#This Row],[Avancement physique du chantier (%)]]*SuiviExec[[#This Row],[Budget MO (€)]]</f>
        <v>6336.5</v>
      </c>
      <c r="AZ24" s="23">
        <f>SuiviExec[[#This Row],[Avancement physique du chantier (%)]]*SuiviExec[[#This Row],[Budget Matériel (€)]]</f>
        <v>60921.219999999994</v>
      </c>
      <c r="BA24" s="23">
        <f>SuiviExec[[#This Row],[Budget ST (€)]]*SuiviExec[[#This Row],[Avancement physique du chantier (%)]]</f>
        <v>3277.88</v>
      </c>
      <c r="BB24" s="20">
        <f>SUM(SuiviExec[[#This Row],[Charges 2021 MO (€)]:[Charges 2021 ST (€)]])</f>
        <v>70535.600000000006</v>
      </c>
      <c r="BC24" s="31">
        <v>0</v>
      </c>
      <c r="BD24" s="42">
        <f>SuiviExec[[#This Row],[CA 2021 - Réalisé]]-SuiviExec[[#This Row],[Charges 2021 à date]]</f>
        <v>25186.399999999994</v>
      </c>
      <c r="BE24" s="18">
        <f>IF(SuiviExec[[#This Row],[Avancement physique du chantier (%)]]&gt;0,IFERROR(SuiviExec[[#This Row],[Marge 2021 à date]]/SuiviExec[[#This Row],[CA 2021 - Réalisé]],""),"")</f>
        <v>0.26312028582770935</v>
      </c>
      <c r="BF2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4" s="29"/>
      <c r="BH24" s="33">
        <f>(SuiviExec[[#This Row],[Budget MO Etude (€)]]/Taux_Horaire_Etude+SuiviExec[[#This Row],[Budget MO Agent (heure)]])</f>
        <v>230</v>
      </c>
      <c r="BI24" s="34">
        <f ca="1">SuiviExec[[#This Row],[Estimation Budget MO (heures)]]-SUM(SuiviExec[[#This Row],[MO &lt; 2021]:[MO &gt; 2023]])</f>
        <v>0</v>
      </c>
      <c r="BJ24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4" s="19">
        <f t="shared" ca="1" si="8"/>
        <v>0</v>
      </c>
      <c r="BL24" s="19">
        <f t="shared" ca="1" si="8"/>
        <v>0</v>
      </c>
      <c r="BM24" s="19">
        <f t="shared" ca="1" si="8"/>
        <v>0</v>
      </c>
      <c r="BN24" s="19">
        <f t="shared" ca="1" si="8"/>
        <v>0</v>
      </c>
      <c r="BO24" s="19">
        <f t="shared" ca="1" si="8"/>
        <v>0</v>
      </c>
      <c r="BP24" s="19">
        <f t="shared" ca="1" si="8"/>
        <v>0</v>
      </c>
      <c r="BQ24" s="19">
        <f t="shared" ca="1" si="8"/>
        <v>46</v>
      </c>
      <c r="BR24" s="19">
        <f t="shared" ca="1" si="8"/>
        <v>46</v>
      </c>
      <c r="BS24" s="19">
        <f t="shared" ca="1" si="8"/>
        <v>46</v>
      </c>
      <c r="BT24" s="19">
        <f t="shared" ca="1" si="8"/>
        <v>46</v>
      </c>
      <c r="BU24" s="19">
        <f t="shared" ca="1" si="8"/>
        <v>46</v>
      </c>
      <c r="BV24" s="19">
        <f t="shared" ca="1" si="8"/>
        <v>0</v>
      </c>
      <c r="BW24" s="19">
        <f t="shared" ca="1" si="8"/>
        <v>0</v>
      </c>
      <c r="BX24" s="19">
        <f t="shared" ca="1" si="8"/>
        <v>0</v>
      </c>
      <c r="BY24" s="19">
        <f t="shared" ca="1" si="8"/>
        <v>0</v>
      </c>
      <c r="BZ24" s="19">
        <f t="shared" ca="1" si="8"/>
        <v>0</v>
      </c>
      <c r="CA24" s="19">
        <f t="shared" ca="1" si="6"/>
        <v>0</v>
      </c>
      <c r="CB24" s="19">
        <f t="shared" ca="1" si="6"/>
        <v>0</v>
      </c>
      <c r="CC24" s="19">
        <f t="shared" ca="1" si="6"/>
        <v>0</v>
      </c>
      <c r="CD24" s="19">
        <f t="shared" ca="1" si="6"/>
        <v>0</v>
      </c>
      <c r="CE24" s="19">
        <f t="shared" ca="1" si="6"/>
        <v>0</v>
      </c>
      <c r="CF24" s="19">
        <f t="shared" ca="1" si="6"/>
        <v>0</v>
      </c>
      <c r="CG24" s="19">
        <f t="shared" ca="1" si="6"/>
        <v>0</v>
      </c>
      <c r="CH24" s="19">
        <f t="shared" ca="1" si="6"/>
        <v>0</v>
      </c>
      <c r="CI24" s="19">
        <f t="shared" ca="1" si="6"/>
        <v>0</v>
      </c>
      <c r="CJ24" s="19">
        <f t="shared" ca="1" si="6"/>
        <v>0</v>
      </c>
      <c r="CK24" s="19">
        <f t="shared" ca="1" si="6"/>
        <v>0</v>
      </c>
      <c r="CL24" s="19">
        <f t="shared" ca="1" si="6"/>
        <v>0</v>
      </c>
      <c r="CM24" s="19">
        <f t="shared" ca="1" si="6"/>
        <v>0</v>
      </c>
      <c r="CN24" s="19">
        <f t="shared" ca="1" si="6"/>
        <v>0</v>
      </c>
      <c r="CO24" s="19">
        <f t="shared" ca="1" si="6"/>
        <v>0</v>
      </c>
      <c r="CP24" s="19">
        <f t="shared" ca="1" si="9"/>
        <v>0</v>
      </c>
      <c r="CQ24" s="19">
        <f t="shared" ca="1" si="9"/>
        <v>0</v>
      </c>
      <c r="CR24" s="19">
        <f t="shared" ca="1" si="9"/>
        <v>0</v>
      </c>
      <c r="CS24" s="19">
        <f t="shared" ca="1" si="9"/>
        <v>0</v>
      </c>
      <c r="CT24" s="19">
        <f t="shared" ca="1" si="9"/>
        <v>0</v>
      </c>
      <c r="CU24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4" s="35"/>
      <c r="CW24" s="36">
        <f ca="1">SuiviExec[[#This Row],[CA Vendu initial (€)]]-SUM(SuiviExec[[#This Row],[CA &lt; 2021]:[CA &gt; 2023]])</f>
        <v>0</v>
      </c>
      <c r="CX2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4" s="37">
        <f t="shared" ca="1" si="10"/>
        <v>0</v>
      </c>
      <c r="CZ24" s="37">
        <f t="shared" ca="1" si="10"/>
        <v>0</v>
      </c>
      <c r="DA24" s="37">
        <f t="shared" ca="1" si="10"/>
        <v>0</v>
      </c>
      <c r="DB24" s="37">
        <f t="shared" ca="1" si="10"/>
        <v>0</v>
      </c>
      <c r="DC24" s="37">
        <f t="shared" ca="1" si="10"/>
        <v>0</v>
      </c>
      <c r="DD24" s="37">
        <f t="shared" ca="1" si="10"/>
        <v>0</v>
      </c>
      <c r="DE24" s="37">
        <f t="shared" ca="1" si="10"/>
        <v>20152</v>
      </c>
      <c r="DF24" s="37">
        <f t="shared" ca="1" si="10"/>
        <v>20152</v>
      </c>
      <c r="DG24" s="37">
        <f t="shared" ca="1" si="10"/>
        <v>20152</v>
      </c>
      <c r="DH24" s="37">
        <f t="shared" ca="1" si="10"/>
        <v>20152</v>
      </c>
      <c r="DI24" s="37">
        <f t="shared" ca="1" si="10"/>
        <v>20152</v>
      </c>
      <c r="DJ24" s="37">
        <f t="shared" ca="1" si="10"/>
        <v>0</v>
      </c>
      <c r="DK24" s="37">
        <f t="shared" ca="1" si="10"/>
        <v>0</v>
      </c>
      <c r="DL24" s="37">
        <f t="shared" ca="1" si="10"/>
        <v>0</v>
      </c>
      <c r="DM24" s="37">
        <f t="shared" ca="1" si="10"/>
        <v>0</v>
      </c>
      <c r="DN24" s="37">
        <f t="shared" ca="1" si="10"/>
        <v>0</v>
      </c>
      <c r="DO24" s="37">
        <f t="shared" ca="1" si="7"/>
        <v>0</v>
      </c>
      <c r="DP24" s="37">
        <f t="shared" ca="1" si="7"/>
        <v>0</v>
      </c>
      <c r="DQ24" s="37">
        <f t="shared" ca="1" si="7"/>
        <v>0</v>
      </c>
      <c r="DR24" s="37">
        <f t="shared" ca="1" si="7"/>
        <v>0</v>
      </c>
      <c r="DS24" s="37">
        <f t="shared" ca="1" si="7"/>
        <v>0</v>
      </c>
      <c r="DT24" s="37">
        <f t="shared" ca="1" si="7"/>
        <v>0</v>
      </c>
      <c r="DU24" s="37">
        <f t="shared" ca="1" si="7"/>
        <v>0</v>
      </c>
      <c r="DV24" s="37">
        <f t="shared" ca="1" si="7"/>
        <v>0</v>
      </c>
      <c r="DW24" s="37">
        <f t="shared" ca="1" si="7"/>
        <v>0</v>
      </c>
      <c r="DX24" s="37">
        <f t="shared" ca="1" si="7"/>
        <v>0</v>
      </c>
      <c r="DY24" s="37">
        <f t="shared" ca="1" si="7"/>
        <v>0</v>
      </c>
      <c r="DZ24" s="37">
        <f t="shared" ca="1" si="7"/>
        <v>0</v>
      </c>
      <c r="EA24" s="37">
        <f t="shared" ca="1" si="7"/>
        <v>0</v>
      </c>
      <c r="EB24" s="37">
        <f t="shared" ca="1" si="7"/>
        <v>0</v>
      </c>
      <c r="EC24" s="37">
        <f t="shared" ca="1" si="7"/>
        <v>0</v>
      </c>
      <c r="ED24" s="37">
        <f t="shared" ca="1" si="11"/>
        <v>0</v>
      </c>
      <c r="EE24" s="37">
        <f t="shared" ca="1" si="11"/>
        <v>0</v>
      </c>
      <c r="EF24" s="37">
        <f t="shared" ca="1" si="11"/>
        <v>0</v>
      </c>
      <c r="EG24" s="37">
        <f t="shared" ca="1" si="11"/>
        <v>0</v>
      </c>
      <c r="EH24" s="37">
        <f t="shared" ca="1" si="11"/>
        <v>0</v>
      </c>
      <c r="EI2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4" s="38">
        <f>IFERROR(SuiviExec[[#This Row],[PAT CA (€)]]/SuiviExec[[#This Row],[CA Vendu initial (€)]],0)</f>
        <v>1</v>
      </c>
      <c r="EK24" s="39"/>
      <c r="EL24" s="40" t="str">
        <f>IF(OR(ISBLANK(SuiviExec[[#This Row],[Budget MO (€)]]),ISBLANK(SuiviExec[[#This Row],[Budget Matériel (€)]]),ISBLANK(SuiviExec[[#This Row],[Budget ST (€)]])),"Budget non détaillé","")</f>
        <v/>
      </c>
    </row>
    <row r="25" spans="1:142" ht="15.75" x14ac:dyDescent="0.25">
      <c r="A25" s="14" t="s">
        <v>237</v>
      </c>
      <c r="B25" s="14" t="s">
        <v>238</v>
      </c>
      <c r="C25" s="14" t="s">
        <v>144</v>
      </c>
      <c r="D25" s="14" t="s">
        <v>182</v>
      </c>
      <c r="E25" s="14" t="s">
        <v>182</v>
      </c>
      <c r="F25" s="14" t="s">
        <v>146</v>
      </c>
      <c r="G25" s="15">
        <v>44197</v>
      </c>
      <c r="H25" s="16" t="s">
        <v>239</v>
      </c>
      <c r="I25" s="16" t="s">
        <v>240</v>
      </c>
      <c r="J25" s="17">
        <v>13210</v>
      </c>
      <c r="K25" s="17">
        <v>4326</v>
      </c>
      <c r="L25" s="18">
        <f>IFERROR(SuiviExec[[#This Row],[Marge Vendue Initiale (€)]]/SuiviExec[[#This Row],[CA Vendu initial (€)]],"")</f>
        <v>0.32747918243754731</v>
      </c>
      <c r="M25" s="17"/>
      <c r="N25" s="19">
        <v>39</v>
      </c>
      <c r="O25" s="20">
        <f>SuiviExec[[#This Row],[Budget MO Etude (€)]]+SuiviExec[[#This Row],[Budget MO Agent (heure)]]*Taux_Horaire_Agent</f>
        <v>1131</v>
      </c>
      <c r="P25" s="17">
        <v>2123</v>
      </c>
      <c r="Q25" s="17">
        <v>5630</v>
      </c>
      <c r="R25" s="21">
        <f>SUM(SuiviExec[[#This Row],[Budget MO (€)]:[Budget ST (€)]])</f>
        <v>8884</v>
      </c>
      <c r="S25" s="22">
        <v>44494</v>
      </c>
      <c r="T25" s="22">
        <v>44508</v>
      </c>
      <c r="U25" s="23"/>
      <c r="V25" s="24" cm="1">
        <f t="array" ref="V2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5" s="20">
        <f>IFERROR(SuiviExec[[#This Row],[Réalisé MO Etude (€)]]+SuiviExec[[#This Row],[Réalisé MO Agent (heure)]]*Taux_Horaire_Agent,0)</f>
        <v>0</v>
      </c>
      <c r="X2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5" s="21">
        <f>SUM(SuiviExec[[#This Row],[Réalisé MO (€)]:[Réalisé ST (€)]])</f>
        <v>0</v>
      </c>
      <c r="AA25" s="26">
        <v>0.97</v>
      </c>
      <c r="AB25" s="41"/>
      <c r="AC25" s="41">
        <v>39</v>
      </c>
      <c r="AD25" s="20">
        <f>IFERROR(SuiviExec[[#This Row],[PAT MO Etude (€)]]+SuiviExec[[#This Row],[PAT MO Agent (heure)]]*Taux_Horaire_Agent,0)</f>
        <v>1131</v>
      </c>
      <c r="AE25" s="28">
        <f>SuiviExec[[#This Row],[Budget Matériel (€)]]</f>
        <v>2123</v>
      </c>
      <c r="AF25" s="28">
        <f>SuiviExec[[#This Row],[Budget ST (€)]]</f>
        <v>5630</v>
      </c>
      <c r="AG25" s="21">
        <f>SUM(SuiviExec[[#This Row],[PAT MO (€)]:[PAT ST (€)]])</f>
        <v>8884</v>
      </c>
      <c r="AH25" s="28">
        <v>13210</v>
      </c>
      <c r="AI25" s="21">
        <f>SuiviExec[[#This Row],[PAT CA (€)]]-SuiviExec[[#This Row],[PAT Coût Total (€)]]</f>
        <v>4326</v>
      </c>
      <c r="AJ25" s="18">
        <f>IFERROR(SuiviExec[[#This Row],[PAT Marge (€)]]/SuiviExec[[#This Row],[PAT CA (€)]],"Saisir le PAT")</f>
        <v>0.32747918243754731</v>
      </c>
      <c r="AK25" s="29"/>
      <c r="AL25" s="28"/>
      <c r="AM25" s="29"/>
      <c r="AN25" s="28"/>
      <c r="AO25" s="30">
        <f>SuiviExec[[#This Row],[CA Vendu initial (€)]]*SuiviExec[[#This Row],[Avancement physique du chantier (%)]]</f>
        <v>12813.699999999999</v>
      </c>
      <c r="AP25" s="23">
        <v>13210</v>
      </c>
      <c r="AQ25" s="20">
        <f>IF(SuiviExec[[#This Row],[Avancement physique du chantier (%)]]=0,0,SuiviExec[[#This Row],[Situation méritée (CA Produit)]]-SuiviExec[[#This Row],[Montant Facturé (€)]])</f>
        <v>-396.30000000000109</v>
      </c>
      <c r="AR25" s="23">
        <v>0</v>
      </c>
      <c r="AS2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5" s="23">
        <v>0</v>
      </c>
      <c r="AU25" s="20">
        <f>SuiviExec[[#This Row],[Situation méritée (CA Produit)]]-SuiviExec[[#This Row],[CA Année N-1 (2020)]]</f>
        <v>12813.699999999999</v>
      </c>
      <c r="AV25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-13210</v>
      </c>
      <c r="AW25" s="20">
        <f ca="1">SUM(SuiviExec[[#This Row],[Janvier 2022 CA]:[CA &gt; 2023]])</f>
        <v>0</v>
      </c>
      <c r="AX25" s="20">
        <f>SuiviExec[[#This Row],[Situation méritée (CA Produit)]]-SuiviExec[[#This Row],[CA Année N-1 (2020)]]-SuiviExec[[#This Row],[CA 2021 - Réalisé]]</f>
        <v>0</v>
      </c>
      <c r="AY25" s="23">
        <f>SuiviExec[[#This Row],[Avancement physique du chantier (%)]]*SuiviExec[[#This Row],[Budget MO (€)]]</f>
        <v>1097.07</v>
      </c>
      <c r="AZ25" s="23">
        <f>SuiviExec[[#This Row],[Avancement physique du chantier (%)]]*SuiviExec[[#This Row],[Budget Matériel (€)]]</f>
        <v>2059.31</v>
      </c>
      <c r="BA25" s="23">
        <f>SuiviExec[[#This Row],[Budget ST (€)]]*SuiviExec[[#This Row],[Avancement physique du chantier (%)]]</f>
        <v>5461.0999999999995</v>
      </c>
      <c r="BB25" s="20">
        <f>SUM(SuiviExec[[#This Row],[Charges 2021 MO (€)]:[Charges 2021 ST (€)]])</f>
        <v>8617.48</v>
      </c>
      <c r="BC25" s="31">
        <v>0</v>
      </c>
      <c r="BD25" s="42">
        <f>SuiviExec[[#This Row],[CA 2021 - Réalisé]]-SuiviExec[[#This Row],[Charges 2021 à date]]</f>
        <v>4196.2199999999993</v>
      </c>
      <c r="BE25" s="18">
        <f>IF(SuiviExec[[#This Row],[Avancement physique du chantier (%)]]&gt;0,IFERROR(SuiviExec[[#This Row],[Marge 2021 à date]]/SuiviExec[[#This Row],[CA 2021 - Réalisé]],""),"")</f>
        <v>0.32747918243754731</v>
      </c>
      <c r="BF2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En cours d'exécution</v>
      </c>
      <c r="BG25" s="29"/>
      <c r="BH25" s="33">
        <f>(SuiviExec[[#This Row],[Budget MO Etude (€)]]/Taux_Horaire_Etude+SuiviExec[[#This Row],[Budget MO Agent (heure)]])</f>
        <v>39</v>
      </c>
      <c r="BI25" s="34">
        <f ca="1">SuiviExec[[#This Row],[Estimation Budget MO (heures)]]-SUM(SuiviExec[[#This Row],[MO &lt; 2021]:[MO &gt; 2023]])</f>
        <v>0</v>
      </c>
      <c r="BJ25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5" s="19">
        <f t="shared" ca="1" si="8"/>
        <v>0</v>
      </c>
      <c r="BL25" s="19">
        <f t="shared" ca="1" si="8"/>
        <v>0</v>
      </c>
      <c r="BM25" s="19">
        <f t="shared" ca="1" si="8"/>
        <v>0</v>
      </c>
      <c r="BN25" s="19">
        <f t="shared" ca="1" si="8"/>
        <v>0</v>
      </c>
      <c r="BO25" s="19">
        <f t="shared" ca="1" si="8"/>
        <v>0</v>
      </c>
      <c r="BP25" s="19">
        <f t="shared" ca="1" si="8"/>
        <v>0</v>
      </c>
      <c r="BQ25" s="19">
        <f t="shared" ca="1" si="8"/>
        <v>0</v>
      </c>
      <c r="BR25" s="19">
        <f t="shared" ca="1" si="8"/>
        <v>0</v>
      </c>
      <c r="BS25" s="19">
        <f t="shared" ca="1" si="8"/>
        <v>0</v>
      </c>
      <c r="BT25" s="19">
        <f t="shared" ca="1" si="8"/>
        <v>19.5</v>
      </c>
      <c r="BU25" s="19">
        <f t="shared" ca="1" si="8"/>
        <v>19.5</v>
      </c>
      <c r="BV25" s="19">
        <f t="shared" ca="1" si="8"/>
        <v>0</v>
      </c>
      <c r="BW25" s="19">
        <f t="shared" ca="1" si="8"/>
        <v>0</v>
      </c>
      <c r="BX25" s="19">
        <f t="shared" ca="1" si="8"/>
        <v>0</v>
      </c>
      <c r="BY25" s="19">
        <f t="shared" ca="1" si="8"/>
        <v>0</v>
      </c>
      <c r="BZ25" s="19">
        <f t="shared" ca="1" si="8"/>
        <v>0</v>
      </c>
      <c r="CA25" s="19">
        <f t="shared" ca="1" si="6"/>
        <v>0</v>
      </c>
      <c r="CB25" s="19">
        <f t="shared" ca="1" si="6"/>
        <v>0</v>
      </c>
      <c r="CC25" s="19">
        <f t="shared" ca="1" si="6"/>
        <v>0</v>
      </c>
      <c r="CD25" s="19">
        <f t="shared" ca="1" si="6"/>
        <v>0</v>
      </c>
      <c r="CE25" s="19">
        <f t="shared" ca="1" si="6"/>
        <v>0</v>
      </c>
      <c r="CF25" s="19">
        <f t="shared" ca="1" si="6"/>
        <v>0</v>
      </c>
      <c r="CG25" s="19">
        <f t="shared" ca="1" si="6"/>
        <v>0</v>
      </c>
      <c r="CH25" s="19">
        <f t="shared" ca="1" si="6"/>
        <v>0</v>
      </c>
      <c r="CI25" s="19">
        <f t="shared" ca="1" si="6"/>
        <v>0</v>
      </c>
      <c r="CJ25" s="19">
        <f t="shared" ca="1" si="6"/>
        <v>0</v>
      </c>
      <c r="CK25" s="19">
        <f t="shared" ca="1" si="6"/>
        <v>0</v>
      </c>
      <c r="CL25" s="19">
        <f t="shared" ca="1" si="6"/>
        <v>0</v>
      </c>
      <c r="CM25" s="19">
        <f t="shared" ca="1" si="6"/>
        <v>0</v>
      </c>
      <c r="CN25" s="19">
        <f t="shared" ca="1" si="6"/>
        <v>0</v>
      </c>
      <c r="CO25" s="19">
        <f t="shared" ca="1" si="6"/>
        <v>0</v>
      </c>
      <c r="CP25" s="19">
        <f t="shared" ca="1" si="9"/>
        <v>0</v>
      </c>
      <c r="CQ25" s="19">
        <f t="shared" ca="1" si="9"/>
        <v>0</v>
      </c>
      <c r="CR25" s="19">
        <f t="shared" ca="1" si="9"/>
        <v>0</v>
      </c>
      <c r="CS25" s="19">
        <f t="shared" ca="1" si="9"/>
        <v>0</v>
      </c>
      <c r="CT25" s="19">
        <f t="shared" ca="1" si="9"/>
        <v>0</v>
      </c>
      <c r="CU25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5" s="35"/>
      <c r="CW25" s="36">
        <f ca="1">SuiviExec[[#This Row],[CA Vendu initial (€)]]-SUM(SuiviExec[[#This Row],[CA &lt; 2021]:[CA &gt; 2023]])</f>
        <v>0</v>
      </c>
      <c r="CX2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5" s="37">
        <f t="shared" ca="1" si="10"/>
        <v>0</v>
      </c>
      <c r="CZ25" s="37">
        <f t="shared" ca="1" si="10"/>
        <v>0</v>
      </c>
      <c r="DA25" s="37">
        <f t="shared" ca="1" si="10"/>
        <v>0</v>
      </c>
      <c r="DB25" s="37">
        <f t="shared" ca="1" si="10"/>
        <v>0</v>
      </c>
      <c r="DC25" s="37">
        <f t="shared" ca="1" si="10"/>
        <v>0</v>
      </c>
      <c r="DD25" s="37">
        <f t="shared" ca="1" si="10"/>
        <v>0</v>
      </c>
      <c r="DE25" s="37">
        <f t="shared" ca="1" si="10"/>
        <v>0</v>
      </c>
      <c r="DF25" s="37">
        <f t="shared" ca="1" si="10"/>
        <v>0</v>
      </c>
      <c r="DG25" s="37">
        <f t="shared" ca="1" si="10"/>
        <v>0</v>
      </c>
      <c r="DH25" s="37">
        <f t="shared" ca="1" si="10"/>
        <v>6605</v>
      </c>
      <c r="DI25" s="37">
        <f t="shared" ca="1" si="10"/>
        <v>6605</v>
      </c>
      <c r="DJ25" s="37">
        <f t="shared" ca="1" si="10"/>
        <v>0</v>
      </c>
      <c r="DK25" s="37">
        <f t="shared" ca="1" si="10"/>
        <v>0</v>
      </c>
      <c r="DL25" s="37">
        <f t="shared" ca="1" si="10"/>
        <v>0</v>
      </c>
      <c r="DM25" s="37">
        <f t="shared" ca="1" si="10"/>
        <v>0</v>
      </c>
      <c r="DN25" s="37">
        <f t="shared" ca="1" si="10"/>
        <v>0</v>
      </c>
      <c r="DO25" s="37">
        <f t="shared" ca="1" si="7"/>
        <v>0</v>
      </c>
      <c r="DP25" s="37">
        <f t="shared" ca="1" si="7"/>
        <v>0</v>
      </c>
      <c r="DQ25" s="37">
        <f t="shared" ca="1" si="7"/>
        <v>0</v>
      </c>
      <c r="DR25" s="37">
        <f t="shared" ca="1" si="7"/>
        <v>0</v>
      </c>
      <c r="DS25" s="37">
        <f t="shared" ca="1" si="7"/>
        <v>0</v>
      </c>
      <c r="DT25" s="37">
        <f t="shared" ca="1" si="7"/>
        <v>0</v>
      </c>
      <c r="DU25" s="37">
        <f t="shared" ca="1" si="7"/>
        <v>0</v>
      </c>
      <c r="DV25" s="37">
        <f t="shared" ca="1" si="7"/>
        <v>0</v>
      </c>
      <c r="DW25" s="37">
        <f t="shared" ca="1" si="7"/>
        <v>0</v>
      </c>
      <c r="DX25" s="37">
        <f t="shared" ca="1" si="7"/>
        <v>0</v>
      </c>
      <c r="DY25" s="37">
        <f t="shared" ca="1" si="7"/>
        <v>0</v>
      </c>
      <c r="DZ25" s="37">
        <f t="shared" ca="1" si="7"/>
        <v>0</v>
      </c>
      <c r="EA25" s="37">
        <f t="shared" ca="1" si="7"/>
        <v>0</v>
      </c>
      <c r="EB25" s="37">
        <f t="shared" ca="1" si="7"/>
        <v>0</v>
      </c>
      <c r="EC25" s="37">
        <f t="shared" ca="1" si="7"/>
        <v>0</v>
      </c>
      <c r="ED25" s="37">
        <f t="shared" ca="1" si="11"/>
        <v>0</v>
      </c>
      <c r="EE25" s="37">
        <f t="shared" ca="1" si="11"/>
        <v>0</v>
      </c>
      <c r="EF25" s="37">
        <f t="shared" ca="1" si="11"/>
        <v>0</v>
      </c>
      <c r="EG25" s="37">
        <f t="shared" ca="1" si="11"/>
        <v>0</v>
      </c>
      <c r="EH25" s="37">
        <f t="shared" ca="1" si="11"/>
        <v>0</v>
      </c>
      <c r="EI2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5" s="38">
        <f>IFERROR(SuiviExec[[#This Row],[PAT CA (€)]]/SuiviExec[[#This Row],[CA Vendu initial (€)]],0)</f>
        <v>1</v>
      </c>
      <c r="EK25" s="39"/>
      <c r="EL25" s="40" t="str">
        <f>IF(OR(ISBLANK(SuiviExec[[#This Row],[Budget MO (€)]]),ISBLANK(SuiviExec[[#This Row],[Budget Matériel (€)]]),ISBLANK(SuiviExec[[#This Row],[Budget ST (€)]])),"Budget non détaillé","")</f>
        <v/>
      </c>
    </row>
    <row r="26" spans="1:142" ht="15.75" x14ac:dyDescent="0.25">
      <c r="A26" s="14" t="s">
        <v>195</v>
      </c>
      <c r="B26" s="14" t="s">
        <v>241</v>
      </c>
      <c r="C26" s="14" t="s">
        <v>144</v>
      </c>
      <c r="D26" s="14" t="s">
        <v>174</v>
      </c>
      <c r="E26" s="14" t="s">
        <v>174</v>
      </c>
      <c r="F26" s="14" t="s">
        <v>146</v>
      </c>
      <c r="G26" s="15">
        <v>44348</v>
      </c>
      <c r="H26" s="16" t="s">
        <v>242</v>
      </c>
      <c r="I26" s="16" t="s">
        <v>243</v>
      </c>
      <c r="J26" s="17">
        <v>17365</v>
      </c>
      <c r="K26" s="17">
        <v>3893</v>
      </c>
      <c r="L26" s="18">
        <f>IFERROR(SuiviExec[[#This Row],[Marge Vendue Initiale (€)]]/SuiviExec[[#This Row],[CA Vendu initial (€)]],"")</f>
        <v>0.22418658220558596</v>
      </c>
      <c r="M26" s="17"/>
      <c r="N26" s="19">
        <v>0</v>
      </c>
      <c r="O26" s="20">
        <f>SuiviExec[[#This Row],[Budget MO Etude (€)]]+SuiviExec[[#This Row],[Budget MO Agent (heure)]]*Taux_Horaire_Agent</f>
        <v>0</v>
      </c>
      <c r="P26" s="17">
        <v>12000</v>
      </c>
      <c r="Q26" s="17">
        <v>1472</v>
      </c>
      <c r="R26" s="21">
        <f>SUM(SuiviExec[[#This Row],[Budget MO (€)]:[Budget ST (€)]])</f>
        <v>13472</v>
      </c>
      <c r="S26" s="22">
        <v>44378</v>
      </c>
      <c r="T26" s="22">
        <v>44497</v>
      </c>
      <c r="U26" s="23"/>
      <c r="V26" s="24" cm="1">
        <f t="array" ref="V26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6" s="20">
        <f>IFERROR(SuiviExec[[#This Row],[Réalisé MO Etude (€)]]+SuiviExec[[#This Row],[Réalisé MO Agent (heure)]]*Taux_Horaire_Agent,0)</f>
        <v>0</v>
      </c>
      <c r="X2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6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6" s="21">
        <f>SUM(SuiviExec[[#This Row],[Réalisé MO (€)]:[Réalisé ST (€)]])</f>
        <v>0</v>
      </c>
      <c r="AA26" s="26">
        <v>1</v>
      </c>
      <c r="AB26" s="41"/>
      <c r="AC26" s="41">
        <v>0</v>
      </c>
      <c r="AD26" s="20">
        <f>IFERROR(SuiviExec[[#This Row],[PAT MO Etude (€)]]+SuiviExec[[#This Row],[PAT MO Agent (heure)]]*Taux_Horaire_Agent,0)</f>
        <v>0</v>
      </c>
      <c r="AE26" s="28">
        <f>SuiviExec[[#This Row],[Budget Matériel (€)]]</f>
        <v>12000</v>
      </c>
      <c r="AF26" s="28">
        <f>SuiviExec[[#This Row],[Budget ST (€)]]</f>
        <v>1472</v>
      </c>
      <c r="AG26" s="21">
        <f>SUM(SuiviExec[[#This Row],[PAT MO (€)]:[PAT ST (€)]])</f>
        <v>13472</v>
      </c>
      <c r="AH26" s="28">
        <v>17365</v>
      </c>
      <c r="AI26" s="21">
        <f>SuiviExec[[#This Row],[PAT CA (€)]]-SuiviExec[[#This Row],[PAT Coût Total (€)]]</f>
        <v>3893</v>
      </c>
      <c r="AJ26" s="18">
        <f>IFERROR(SuiviExec[[#This Row],[PAT Marge (€)]]/SuiviExec[[#This Row],[PAT CA (€)]],"Saisir le PAT")</f>
        <v>0.22418658220558596</v>
      </c>
      <c r="AK26" s="29"/>
      <c r="AL26" s="28"/>
      <c r="AM26" s="29"/>
      <c r="AN26" s="28"/>
      <c r="AO26" s="30">
        <f>SuiviExec[[#This Row],[CA Vendu initial (€)]]*SuiviExec[[#This Row],[Avancement physique du chantier (%)]]</f>
        <v>17365</v>
      </c>
      <c r="AP26" s="23">
        <v>17365</v>
      </c>
      <c r="AQ26" s="20">
        <f>IF(SuiviExec[[#This Row],[Avancement physique du chantier (%)]]=0,0,SuiviExec[[#This Row],[Situation méritée (CA Produit)]]-SuiviExec[[#This Row],[Montant Facturé (€)]])</f>
        <v>0</v>
      </c>
      <c r="AR26" s="23">
        <v>0</v>
      </c>
      <c r="AS26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6" s="23">
        <v>0</v>
      </c>
      <c r="AU26" s="20">
        <f>SuiviExec[[#This Row],[Situation méritée (CA Produit)]]-SuiviExec[[#This Row],[CA Année N-1 (2020)]]</f>
        <v>17365</v>
      </c>
      <c r="AV26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-571.39012662710593</v>
      </c>
      <c r="AW26" s="20">
        <f ca="1">SUM(SuiviExec[[#This Row],[Janvier 2022 CA]:[CA &gt; 2023]])</f>
        <v>0</v>
      </c>
      <c r="AX26" s="20">
        <f>SuiviExec[[#This Row],[Situation méritée (CA Produit)]]-SuiviExec[[#This Row],[CA Année N-1 (2020)]]-SuiviExec[[#This Row],[CA 2021 - Réalisé]]</f>
        <v>0</v>
      </c>
      <c r="AY26" s="23">
        <f>SuiviExec[[#This Row],[Avancement physique du chantier (%)]]*SuiviExec[[#This Row],[Budget MO (€)]]</f>
        <v>0</v>
      </c>
      <c r="AZ26" s="23">
        <f>SuiviExec[[#This Row],[Avancement physique du chantier (%)]]*SuiviExec[[#This Row],[Budget Matériel (€)]]</f>
        <v>12000</v>
      </c>
      <c r="BA26" s="23">
        <f>SuiviExec[[#This Row],[Budget ST (€)]]*SuiviExec[[#This Row],[Avancement physique du chantier (%)]]</f>
        <v>1472</v>
      </c>
      <c r="BB26" s="20">
        <f>SUM(SuiviExec[[#This Row],[Charges 2021 MO (€)]:[Charges 2021 ST (€)]])</f>
        <v>13472</v>
      </c>
      <c r="BC26" s="31">
        <v>0</v>
      </c>
      <c r="BD26" s="42">
        <f>SuiviExec[[#This Row],[CA 2021 - Réalisé]]-SuiviExec[[#This Row],[Charges 2021 à date]]</f>
        <v>3893</v>
      </c>
      <c r="BE26" s="18">
        <f>IF(SuiviExec[[#This Row],[Avancement physique du chantier (%)]]&gt;0,IFERROR(SuiviExec[[#This Row],[Marge 2021 à date]]/SuiviExec[[#This Row],[CA 2021 - Réalisé]],""),"")</f>
        <v>0.22418658220558596</v>
      </c>
      <c r="BF26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6" s="29"/>
      <c r="BH26" s="33">
        <f>(SuiviExec[[#This Row],[Budget MO Etude (€)]]/Taux_Horaire_Etude+SuiviExec[[#This Row],[Budget MO Agent (heure)]])</f>
        <v>0</v>
      </c>
      <c r="BI26" s="34">
        <f ca="1">SuiviExec[[#This Row],[Estimation Budget MO (heures)]]-SUM(SuiviExec[[#This Row],[MO &lt; 2021]:[MO &gt; 2023]])</f>
        <v>0</v>
      </c>
      <c r="BJ26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6" s="19">
        <f t="shared" ca="1" si="8"/>
        <v>0</v>
      </c>
      <c r="BL26" s="19">
        <f t="shared" ca="1" si="8"/>
        <v>0</v>
      </c>
      <c r="BM26" s="19">
        <f t="shared" ca="1" si="8"/>
        <v>0</v>
      </c>
      <c r="BN26" s="19">
        <f t="shared" ca="1" si="8"/>
        <v>0</v>
      </c>
      <c r="BO26" s="19">
        <f t="shared" ca="1" si="8"/>
        <v>0</v>
      </c>
      <c r="BP26" s="19">
        <f t="shared" ca="1" si="8"/>
        <v>0</v>
      </c>
      <c r="BQ26" s="19">
        <f t="shared" ca="1" si="8"/>
        <v>0</v>
      </c>
      <c r="BR26" s="19">
        <f t="shared" ca="1" si="8"/>
        <v>0</v>
      </c>
      <c r="BS26" s="19">
        <f t="shared" ca="1" si="8"/>
        <v>0</v>
      </c>
      <c r="BT26" s="19">
        <f t="shared" ca="1" si="8"/>
        <v>0</v>
      </c>
      <c r="BU26" s="19">
        <f t="shared" ca="1" si="8"/>
        <v>0</v>
      </c>
      <c r="BV26" s="19">
        <f t="shared" ca="1" si="8"/>
        <v>0</v>
      </c>
      <c r="BW26" s="19">
        <f t="shared" ca="1" si="8"/>
        <v>0</v>
      </c>
      <c r="BX26" s="19">
        <f t="shared" ca="1" si="8"/>
        <v>0</v>
      </c>
      <c r="BY26" s="19">
        <f t="shared" ca="1" si="8"/>
        <v>0</v>
      </c>
      <c r="BZ26" s="19">
        <f t="shared" ca="1" si="8"/>
        <v>0</v>
      </c>
      <c r="CA26" s="19">
        <f t="shared" ca="1" si="6"/>
        <v>0</v>
      </c>
      <c r="CB26" s="19">
        <f t="shared" ca="1" si="6"/>
        <v>0</v>
      </c>
      <c r="CC26" s="19">
        <f t="shared" ca="1" si="6"/>
        <v>0</v>
      </c>
      <c r="CD26" s="19">
        <f t="shared" ca="1" si="6"/>
        <v>0</v>
      </c>
      <c r="CE26" s="19">
        <f t="shared" ca="1" si="6"/>
        <v>0</v>
      </c>
      <c r="CF26" s="19">
        <f t="shared" ca="1" si="6"/>
        <v>0</v>
      </c>
      <c r="CG26" s="19">
        <f t="shared" ca="1" si="6"/>
        <v>0</v>
      </c>
      <c r="CH26" s="19">
        <f t="shared" ca="1" si="6"/>
        <v>0</v>
      </c>
      <c r="CI26" s="19">
        <f t="shared" ca="1" si="6"/>
        <v>0</v>
      </c>
      <c r="CJ26" s="19">
        <f t="shared" ca="1" si="6"/>
        <v>0</v>
      </c>
      <c r="CK26" s="19">
        <f t="shared" ca="1" si="6"/>
        <v>0</v>
      </c>
      <c r="CL26" s="19">
        <f t="shared" ca="1" si="6"/>
        <v>0</v>
      </c>
      <c r="CM26" s="19">
        <f t="shared" ca="1" si="6"/>
        <v>0</v>
      </c>
      <c r="CN26" s="19">
        <f t="shared" ca="1" si="6"/>
        <v>0</v>
      </c>
      <c r="CO26" s="19">
        <f t="shared" ca="1" si="6"/>
        <v>0</v>
      </c>
      <c r="CP26" s="19">
        <f t="shared" ca="1" si="9"/>
        <v>0</v>
      </c>
      <c r="CQ26" s="19">
        <f t="shared" ca="1" si="9"/>
        <v>0</v>
      </c>
      <c r="CR26" s="19">
        <f t="shared" ca="1" si="9"/>
        <v>0</v>
      </c>
      <c r="CS26" s="19">
        <f t="shared" ca="1" si="9"/>
        <v>0</v>
      </c>
      <c r="CT26" s="19">
        <f t="shared" ca="1" si="9"/>
        <v>0</v>
      </c>
      <c r="CU26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6" s="35"/>
      <c r="CW26" s="36">
        <f ca="1">SuiviExec[[#This Row],[CA Vendu initial (€)]]-SUM(SuiviExec[[#This Row],[CA &lt; 2021]:[CA &gt; 2023]])</f>
        <v>0</v>
      </c>
      <c r="CX26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6" s="37">
        <f t="shared" ca="1" si="10"/>
        <v>0</v>
      </c>
      <c r="CZ26" s="37">
        <f t="shared" ca="1" si="10"/>
        <v>0</v>
      </c>
      <c r="DA26" s="37">
        <f t="shared" ca="1" si="10"/>
        <v>0</v>
      </c>
      <c r="DB26" s="37">
        <f t="shared" ca="1" si="10"/>
        <v>0</v>
      </c>
      <c r="DC26" s="37">
        <f t="shared" ca="1" si="10"/>
        <v>0</v>
      </c>
      <c r="DD26" s="37">
        <f t="shared" ca="1" si="10"/>
        <v>0</v>
      </c>
      <c r="DE26" s="37">
        <f t="shared" ca="1" si="10"/>
        <v>4341.25</v>
      </c>
      <c r="DF26" s="37">
        <f t="shared" ca="1" si="10"/>
        <v>4341.25</v>
      </c>
      <c r="DG26" s="37">
        <f t="shared" ca="1" si="10"/>
        <v>4341.25</v>
      </c>
      <c r="DH26" s="37">
        <f t="shared" ca="1" si="10"/>
        <v>4341.25</v>
      </c>
      <c r="DI26" s="37">
        <f t="shared" ca="1" si="10"/>
        <v>0</v>
      </c>
      <c r="DJ26" s="37">
        <f t="shared" ca="1" si="10"/>
        <v>0</v>
      </c>
      <c r="DK26" s="37">
        <f t="shared" ca="1" si="10"/>
        <v>0</v>
      </c>
      <c r="DL26" s="37">
        <f t="shared" ca="1" si="10"/>
        <v>0</v>
      </c>
      <c r="DM26" s="37">
        <f t="shared" ca="1" si="10"/>
        <v>0</v>
      </c>
      <c r="DN26" s="37">
        <f t="shared" ca="1" si="10"/>
        <v>0</v>
      </c>
      <c r="DO26" s="37">
        <f t="shared" ca="1" si="7"/>
        <v>0</v>
      </c>
      <c r="DP26" s="37">
        <f t="shared" ca="1" si="7"/>
        <v>0</v>
      </c>
      <c r="DQ26" s="37">
        <f t="shared" ca="1" si="7"/>
        <v>0</v>
      </c>
      <c r="DR26" s="37">
        <f t="shared" ca="1" si="7"/>
        <v>0</v>
      </c>
      <c r="DS26" s="37">
        <f t="shared" ca="1" si="7"/>
        <v>0</v>
      </c>
      <c r="DT26" s="37">
        <f t="shared" ca="1" si="7"/>
        <v>0</v>
      </c>
      <c r="DU26" s="37">
        <f t="shared" ca="1" si="7"/>
        <v>0</v>
      </c>
      <c r="DV26" s="37">
        <f t="shared" ca="1" si="7"/>
        <v>0</v>
      </c>
      <c r="DW26" s="37">
        <f t="shared" ca="1" si="7"/>
        <v>0</v>
      </c>
      <c r="DX26" s="37">
        <f t="shared" ca="1" si="7"/>
        <v>0</v>
      </c>
      <c r="DY26" s="37">
        <f t="shared" ca="1" si="7"/>
        <v>0</v>
      </c>
      <c r="DZ26" s="37">
        <f t="shared" ca="1" si="7"/>
        <v>0</v>
      </c>
      <c r="EA26" s="37">
        <f t="shared" ca="1" si="7"/>
        <v>0</v>
      </c>
      <c r="EB26" s="37">
        <f t="shared" ca="1" si="7"/>
        <v>0</v>
      </c>
      <c r="EC26" s="37">
        <f t="shared" ca="1" si="7"/>
        <v>0</v>
      </c>
      <c r="ED26" s="37">
        <f t="shared" ca="1" si="11"/>
        <v>0</v>
      </c>
      <c r="EE26" s="37">
        <f t="shared" ca="1" si="11"/>
        <v>0</v>
      </c>
      <c r="EF26" s="37">
        <f t="shared" ca="1" si="11"/>
        <v>0</v>
      </c>
      <c r="EG26" s="37">
        <f t="shared" ca="1" si="11"/>
        <v>0</v>
      </c>
      <c r="EH26" s="37">
        <f t="shared" ca="1" si="11"/>
        <v>0</v>
      </c>
      <c r="EI26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6" s="38">
        <f>IFERROR(SuiviExec[[#This Row],[PAT CA (€)]]/SuiviExec[[#This Row],[CA Vendu initial (€)]],0)</f>
        <v>1</v>
      </c>
      <c r="EK26" s="39"/>
      <c r="EL26" s="40" t="str">
        <f>IF(OR(ISBLANK(SuiviExec[[#This Row],[Budget MO (€)]]),ISBLANK(SuiviExec[[#This Row],[Budget Matériel (€)]]),ISBLANK(SuiviExec[[#This Row],[Budget ST (€)]])),"Budget non détaillé","")</f>
        <v/>
      </c>
    </row>
    <row r="27" spans="1:142" ht="15.75" x14ac:dyDescent="0.25">
      <c r="A27" s="14" t="s">
        <v>244</v>
      </c>
      <c r="B27" s="14" t="s">
        <v>169</v>
      </c>
      <c r="C27" s="14" t="s">
        <v>144</v>
      </c>
      <c r="D27" s="14" t="s">
        <v>244</v>
      </c>
      <c r="E27" s="14" t="s">
        <v>244</v>
      </c>
      <c r="F27" s="14" t="s">
        <v>146</v>
      </c>
      <c r="G27" s="15" t="s">
        <v>245</v>
      </c>
      <c r="H27" s="16" t="s">
        <v>244</v>
      </c>
      <c r="I27" s="16" t="s">
        <v>246</v>
      </c>
      <c r="J27" s="17">
        <v>114667</v>
      </c>
      <c r="K27" s="17">
        <v>40037.475000000006</v>
      </c>
      <c r="L27" s="18">
        <f>IFERROR(SuiviExec[[#This Row],[Marge Vendue Initiale (€)]]/SuiviExec[[#This Row],[CA Vendu initial (€)]],"")</f>
        <v>0.34916301115403742</v>
      </c>
      <c r="M27" s="17"/>
      <c r="N27" s="19">
        <v>1200</v>
      </c>
      <c r="O27" s="20">
        <f>SuiviExec[[#This Row],[Budget MO Etude (€)]]+SuiviExec[[#This Row],[Budget MO Agent (heure)]]*Taux_Horaire_Agent</f>
        <v>34800</v>
      </c>
      <c r="P27" s="17">
        <v>37531.810000000005</v>
      </c>
      <c r="Q27" s="17">
        <v>2297.7150000000038</v>
      </c>
      <c r="R27" s="21">
        <f>SUM(SuiviExec[[#This Row],[Budget MO (€)]:[Budget ST (€)]])</f>
        <v>74629.524999999994</v>
      </c>
      <c r="S27" s="22">
        <v>44201</v>
      </c>
      <c r="T27" s="22">
        <v>44411</v>
      </c>
      <c r="U27" s="23"/>
      <c r="V27" s="24" cm="1">
        <f t="array" ref="V27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7" s="20">
        <f>IFERROR(SuiviExec[[#This Row],[Réalisé MO Etude (€)]]+SuiviExec[[#This Row],[Réalisé MO Agent (heure)]]*Taux_Horaire_Agent,0)</f>
        <v>0</v>
      </c>
      <c r="X2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7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7" s="21">
        <f>SUM(SuiviExec[[#This Row],[Réalisé MO (€)]:[Réalisé ST (€)]])</f>
        <v>0</v>
      </c>
      <c r="AA27" s="26">
        <v>1</v>
      </c>
      <c r="AB27" s="41"/>
      <c r="AC27" s="41">
        <v>1200</v>
      </c>
      <c r="AD27" s="20">
        <f>IFERROR(SuiviExec[[#This Row],[PAT MO Etude (€)]]+SuiviExec[[#This Row],[PAT MO Agent (heure)]]*Taux_Horaire_Agent,0)</f>
        <v>34800</v>
      </c>
      <c r="AE27" s="28">
        <f>SuiviExec[[#This Row],[Budget Matériel (€)]]</f>
        <v>37531.810000000005</v>
      </c>
      <c r="AF27" s="28">
        <f>SuiviExec[[#This Row],[Budget ST (€)]]</f>
        <v>2297.7150000000038</v>
      </c>
      <c r="AG27" s="21">
        <f>SUM(SuiviExec[[#This Row],[PAT MO (€)]:[PAT ST (€)]])</f>
        <v>74629.524999999994</v>
      </c>
      <c r="AH27" s="28">
        <v>114667</v>
      </c>
      <c r="AI27" s="21">
        <f>SuiviExec[[#This Row],[PAT CA (€)]]-SuiviExec[[#This Row],[PAT Coût Total (€)]]</f>
        <v>40037.475000000006</v>
      </c>
      <c r="AJ27" s="18">
        <f>IFERROR(SuiviExec[[#This Row],[PAT Marge (€)]]/SuiviExec[[#This Row],[PAT CA (€)]],"Saisir le PAT")</f>
        <v>0.34916301115403742</v>
      </c>
      <c r="AK27" s="29"/>
      <c r="AL27" s="28"/>
      <c r="AM27" s="29"/>
      <c r="AN27" s="28"/>
      <c r="AO27" s="30">
        <f>SuiviExec[[#This Row],[CA Vendu initial (€)]]*SuiviExec[[#This Row],[Avancement physique du chantier (%)]]</f>
        <v>114667</v>
      </c>
      <c r="AP27" s="23">
        <v>114667</v>
      </c>
      <c r="AQ27" s="20">
        <f>IF(SuiviExec[[#This Row],[Avancement physique du chantier (%)]]=0,0,SuiviExec[[#This Row],[Situation méritée (CA Produit)]]-SuiviExec[[#This Row],[Montant Facturé (€)]])</f>
        <v>0</v>
      </c>
      <c r="AR27" s="23">
        <v>0</v>
      </c>
      <c r="AS27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7" s="23">
        <v>0</v>
      </c>
      <c r="AU27" s="20">
        <f>SuiviExec[[#This Row],[Situation méritée (CA Produit)]]-SuiviExec[[#This Row],[CA Année N-1 (2020)]]</f>
        <v>114667</v>
      </c>
      <c r="AV27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8362.7246497918968</v>
      </c>
      <c r="AW27" s="20">
        <f ca="1">SUM(SuiviExec[[#This Row],[Janvier 2022 CA]:[CA &gt; 2023]])</f>
        <v>0</v>
      </c>
      <c r="AX27" s="20">
        <f>SuiviExec[[#This Row],[Situation méritée (CA Produit)]]-SuiviExec[[#This Row],[CA Année N-1 (2020)]]-SuiviExec[[#This Row],[CA 2021 - Réalisé]]</f>
        <v>0</v>
      </c>
      <c r="AY27" s="23">
        <f>SuiviExec[[#This Row],[Avancement physique du chantier (%)]]*SuiviExec[[#This Row],[Budget MO (€)]]</f>
        <v>34800</v>
      </c>
      <c r="AZ27" s="23">
        <f>SuiviExec[[#This Row],[Avancement physique du chantier (%)]]*SuiviExec[[#This Row],[Budget Matériel (€)]]</f>
        <v>37531.810000000005</v>
      </c>
      <c r="BA27" s="23">
        <f>SuiviExec[[#This Row],[Budget ST (€)]]*SuiviExec[[#This Row],[Avancement physique du chantier (%)]]</f>
        <v>2297.7150000000038</v>
      </c>
      <c r="BB27" s="20">
        <f>SUM(SuiviExec[[#This Row],[Charges 2021 MO (€)]:[Charges 2021 ST (€)]])</f>
        <v>74629.524999999994</v>
      </c>
      <c r="BC27" s="31">
        <v>0</v>
      </c>
      <c r="BD27" s="42">
        <f>SuiviExec[[#This Row],[CA 2021 - Réalisé]]-SuiviExec[[#This Row],[Charges 2021 à date]]</f>
        <v>40037.475000000006</v>
      </c>
      <c r="BE27" s="18">
        <f>IF(SuiviExec[[#This Row],[Avancement physique du chantier (%)]]&gt;0,IFERROR(SuiviExec[[#This Row],[Marge 2021 à date]]/SuiviExec[[#This Row],[CA 2021 - Réalisé]],""),"")</f>
        <v>0.34916301115403742</v>
      </c>
      <c r="BF27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7" s="29"/>
      <c r="BH27" s="33">
        <f>(SuiviExec[[#This Row],[Budget MO Etude (€)]]/Taux_Horaire_Etude+SuiviExec[[#This Row],[Budget MO Agent (heure)]])</f>
        <v>1200</v>
      </c>
      <c r="BI27" s="34">
        <f ca="1">SuiviExec[[#This Row],[Estimation Budget MO (heures)]]-SUM(SuiviExec[[#This Row],[MO &lt; 2021]:[MO &gt; 2023]])</f>
        <v>0</v>
      </c>
      <c r="BJ27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7" s="19">
        <f t="shared" ca="1" si="8"/>
        <v>150</v>
      </c>
      <c r="BL27" s="19">
        <f t="shared" ca="1" si="8"/>
        <v>150</v>
      </c>
      <c r="BM27" s="19">
        <f t="shared" ca="1" si="8"/>
        <v>150</v>
      </c>
      <c r="BN27" s="19">
        <f t="shared" ca="1" si="8"/>
        <v>150</v>
      </c>
      <c r="BO27" s="19">
        <f t="shared" ca="1" si="8"/>
        <v>150</v>
      </c>
      <c r="BP27" s="19">
        <f t="shared" ca="1" si="8"/>
        <v>150</v>
      </c>
      <c r="BQ27" s="19">
        <f t="shared" ca="1" si="8"/>
        <v>150</v>
      </c>
      <c r="BR27" s="19">
        <f t="shared" ca="1" si="8"/>
        <v>150</v>
      </c>
      <c r="BS27" s="19">
        <f t="shared" ca="1" si="8"/>
        <v>0</v>
      </c>
      <c r="BT27" s="19">
        <f t="shared" ca="1" si="8"/>
        <v>0</v>
      </c>
      <c r="BU27" s="19">
        <f t="shared" ca="1" si="8"/>
        <v>0</v>
      </c>
      <c r="BV27" s="19">
        <f t="shared" ca="1" si="8"/>
        <v>0</v>
      </c>
      <c r="BW27" s="19">
        <f t="shared" ca="1" si="8"/>
        <v>0</v>
      </c>
      <c r="BX27" s="19">
        <f t="shared" ca="1" si="8"/>
        <v>0</v>
      </c>
      <c r="BY27" s="19">
        <f t="shared" ca="1" si="8"/>
        <v>0</v>
      </c>
      <c r="BZ27" s="19">
        <f t="shared" ca="1" si="8"/>
        <v>0</v>
      </c>
      <c r="CA27" s="19">
        <f t="shared" ca="1" si="6"/>
        <v>0</v>
      </c>
      <c r="CB27" s="19">
        <f t="shared" ca="1" si="6"/>
        <v>0</v>
      </c>
      <c r="CC27" s="19">
        <f t="shared" ca="1" si="6"/>
        <v>0</v>
      </c>
      <c r="CD27" s="19">
        <f t="shared" ca="1" si="6"/>
        <v>0</v>
      </c>
      <c r="CE27" s="19">
        <f t="shared" ca="1" si="6"/>
        <v>0</v>
      </c>
      <c r="CF27" s="19">
        <f t="shared" ca="1" si="6"/>
        <v>0</v>
      </c>
      <c r="CG27" s="19">
        <f t="shared" ca="1" si="6"/>
        <v>0</v>
      </c>
      <c r="CH27" s="19">
        <f t="shared" ca="1" si="6"/>
        <v>0</v>
      </c>
      <c r="CI27" s="19">
        <f t="shared" ca="1" si="6"/>
        <v>0</v>
      </c>
      <c r="CJ27" s="19">
        <f t="shared" ca="1" si="6"/>
        <v>0</v>
      </c>
      <c r="CK27" s="19">
        <f t="shared" ca="1" si="6"/>
        <v>0</v>
      </c>
      <c r="CL27" s="19">
        <f t="shared" ca="1" si="6"/>
        <v>0</v>
      </c>
      <c r="CM27" s="19">
        <f t="shared" ca="1" si="6"/>
        <v>0</v>
      </c>
      <c r="CN27" s="19">
        <f t="shared" ca="1" si="6"/>
        <v>0</v>
      </c>
      <c r="CO27" s="19">
        <f t="shared" ca="1" si="6"/>
        <v>0</v>
      </c>
      <c r="CP27" s="19">
        <f t="shared" ca="1" si="9"/>
        <v>0</v>
      </c>
      <c r="CQ27" s="19">
        <f t="shared" ca="1" si="9"/>
        <v>0</v>
      </c>
      <c r="CR27" s="19">
        <f t="shared" ca="1" si="9"/>
        <v>0</v>
      </c>
      <c r="CS27" s="19">
        <f t="shared" ca="1" si="9"/>
        <v>0</v>
      </c>
      <c r="CT27" s="19">
        <f t="shared" ca="1" si="9"/>
        <v>0</v>
      </c>
      <c r="CU27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7" s="35"/>
      <c r="CW27" s="36">
        <f ca="1">SuiviExec[[#This Row],[CA Vendu initial (€)]]-SUM(SuiviExec[[#This Row],[CA &lt; 2021]:[CA &gt; 2023]])</f>
        <v>0</v>
      </c>
      <c r="CX27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7" s="37">
        <f t="shared" ca="1" si="10"/>
        <v>14333.375</v>
      </c>
      <c r="CZ27" s="37">
        <f t="shared" ca="1" si="10"/>
        <v>14333.375</v>
      </c>
      <c r="DA27" s="37">
        <f t="shared" ca="1" si="10"/>
        <v>14333.375</v>
      </c>
      <c r="DB27" s="37">
        <f t="shared" ca="1" si="10"/>
        <v>14333.375</v>
      </c>
      <c r="DC27" s="37">
        <f t="shared" ca="1" si="10"/>
        <v>14333.375</v>
      </c>
      <c r="DD27" s="37">
        <f t="shared" ca="1" si="10"/>
        <v>14333.375</v>
      </c>
      <c r="DE27" s="37">
        <f t="shared" ca="1" si="10"/>
        <v>14333.375</v>
      </c>
      <c r="DF27" s="37">
        <f t="shared" ca="1" si="10"/>
        <v>14333.375</v>
      </c>
      <c r="DG27" s="37">
        <f t="shared" ca="1" si="10"/>
        <v>0</v>
      </c>
      <c r="DH27" s="37">
        <f t="shared" ca="1" si="10"/>
        <v>0</v>
      </c>
      <c r="DI27" s="37">
        <f t="shared" ca="1" si="10"/>
        <v>0</v>
      </c>
      <c r="DJ27" s="37">
        <f t="shared" ca="1" si="10"/>
        <v>0</v>
      </c>
      <c r="DK27" s="37">
        <f t="shared" ca="1" si="10"/>
        <v>0</v>
      </c>
      <c r="DL27" s="37">
        <f t="shared" ca="1" si="10"/>
        <v>0</v>
      </c>
      <c r="DM27" s="37">
        <f t="shared" ca="1" si="10"/>
        <v>0</v>
      </c>
      <c r="DN27" s="37">
        <f t="shared" ca="1" si="10"/>
        <v>0</v>
      </c>
      <c r="DO27" s="37">
        <f t="shared" ca="1" si="7"/>
        <v>0</v>
      </c>
      <c r="DP27" s="37">
        <f t="shared" ca="1" si="7"/>
        <v>0</v>
      </c>
      <c r="DQ27" s="37">
        <f t="shared" ca="1" si="7"/>
        <v>0</v>
      </c>
      <c r="DR27" s="37">
        <f t="shared" ca="1" si="7"/>
        <v>0</v>
      </c>
      <c r="DS27" s="37">
        <f t="shared" ca="1" si="7"/>
        <v>0</v>
      </c>
      <c r="DT27" s="37">
        <f t="shared" ca="1" si="7"/>
        <v>0</v>
      </c>
      <c r="DU27" s="37">
        <f t="shared" ca="1" si="7"/>
        <v>0</v>
      </c>
      <c r="DV27" s="37">
        <f t="shared" ca="1" si="7"/>
        <v>0</v>
      </c>
      <c r="DW27" s="37">
        <f t="shared" ca="1" si="7"/>
        <v>0</v>
      </c>
      <c r="DX27" s="37">
        <f t="shared" ca="1" si="7"/>
        <v>0</v>
      </c>
      <c r="DY27" s="37">
        <f t="shared" ca="1" si="7"/>
        <v>0</v>
      </c>
      <c r="DZ27" s="37">
        <f t="shared" ca="1" si="7"/>
        <v>0</v>
      </c>
      <c r="EA27" s="37">
        <f t="shared" ca="1" si="7"/>
        <v>0</v>
      </c>
      <c r="EB27" s="37">
        <f t="shared" ca="1" si="7"/>
        <v>0</v>
      </c>
      <c r="EC27" s="37">
        <f t="shared" ca="1" si="7"/>
        <v>0</v>
      </c>
      <c r="ED27" s="37">
        <f t="shared" ca="1" si="11"/>
        <v>0</v>
      </c>
      <c r="EE27" s="37">
        <f t="shared" ca="1" si="11"/>
        <v>0</v>
      </c>
      <c r="EF27" s="37">
        <f t="shared" ca="1" si="11"/>
        <v>0</v>
      </c>
      <c r="EG27" s="37">
        <f t="shared" ca="1" si="11"/>
        <v>0</v>
      </c>
      <c r="EH27" s="37">
        <f t="shared" ca="1" si="11"/>
        <v>0</v>
      </c>
      <c r="EI27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7" s="38">
        <f>IFERROR(SuiviExec[[#This Row],[PAT CA (€)]]/SuiviExec[[#This Row],[CA Vendu initial (€)]],0)</f>
        <v>1</v>
      </c>
      <c r="EK27" s="39"/>
      <c r="EL27" s="40" t="str">
        <f>IF(OR(ISBLANK(SuiviExec[[#This Row],[Budget MO (€)]]),ISBLANK(SuiviExec[[#This Row],[Budget Matériel (€)]]),ISBLANK(SuiviExec[[#This Row],[Budget ST (€)]])),"Budget non détaillé","")</f>
        <v/>
      </c>
    </row>
    <row r="28" spans="1:142" ht="15.75" x14ac:dyDescent="0.25">
      <c r="A28" s="14" t="s">
        <v>244</v>
      </c>
      <c r="B28" s="14">
        <v>915201</v>
      </c>
      <c r="C28" s="14" t="s">
        <v>144</v>
      </c>
      <c r="D28" s="14" t="s">
        <v>244</v>
      </c>
      <c r="E28" s="14" t="s">
        <v>244</v>
      </c>
      <c r="F28" s="14" t="s">
        <v>146</v>
      </c>
      <c r="G28" s="15" t="s">
        <v>245</v>
      </c>
      <c r="H28" s="16" t="s">
        <v>244</v>
      </c>
      <c r="I28" s="16" t="s">
        <v>247</v>
      </c>
      <c r="J28" s="17">
        <v>58110</v>
      </c>
      <c r="K28" s="17">
        <v>9049.5</v>
      </c>
      <c r="L28" s="18">
        <f>IFERROR(SuiviExec[[#This Row],[Marge Vendue Initiale (€)]]/SuiviExec[[#This Row],[CA Vendu initial (€)]],"")</f>
        <v>0.15573051109963862</v>
      </c>
      <c r="M28" s="17"/>
      <c r="N28" s="19">
        <v>412</v>
      </c>
      <c r="O28" s="20">
        <f>SuiviExec[[#This Row],[Budget MO Etude (€)]]+SuiviExec[[#This Row],[Budget MO Agent (heure)]]*Taux_Horaire_Agent</f>
        <v>11948</v>
      </c>
      <c r="P28" s="17">
        <v>22200</v>
      </c>
      <c r="Q28" s="17">
        <v>14912.5</v>
      </c>
      <c r="R28" s="21">
        <f>SUM(SuiviExec[[#This Row],[Budget MO (€)]:[Budget ST (€)]])</f>
        <v>49060.5</v>
      </c>
      <c r="S28" s="22">
        <v>44197</v>
      </c>
      <c r="T28" s="22">
        <v>44407</v>
      </c>
      <c r="U28" s="23"/>
      <c r="V28" s="24" cm="1">
        <f t="array" ref="V28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8" s="20">
        <f>IFERROR(SuiviExec[[#This Row],[Réalisé MO Etude (€)]]+SuiviExec[[#This Row],[Réalisé MO Agent (heure)]]*Taux_Horaire_Agent,0)</f>
        <v>0</v>
      </c>
      <c r="X2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8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8" s="21">
        <f>SUM(SuiviExec[[#This Row],[Réalisé MO (€)]:[Réalisé ST (€)]])</f>
        <v>0</v>
      </c>
      <c r="AA28" s="26">
        <v>1</v>
      </c>
      <c r="AB28" s="41"/>
      <c r="AC28" s="41">
        <v>412</v>
      </c>
      <c r="AD28" s="20">
        <f>IFERROR(SuiviExec[[#This Row],[PAT MO Etude (€)]]+SuiviExec[[#This Row],[PAT MO Agent (heure)]]*Taux_Horaire_Agent,0)</f>
        <v>11948</v>
      </c>
      <c r="AE28" s="28">
        <f>SuiviExec[[#This Row],[Budget Matériel (€)]]</f>
        <v>22200</v>
      </c>
      <c r="AF28" s="28">
        <f>SuiviExec[[#This Row],[Budget ST (€)]]</f>
        <v>14912.5</v>
      </c>
      <c r="AG28" s="21">
        <f>SUM(SuiviExec[[#This Row],[PAT MO (€)]:[PAT ST (€)]])</f>
        <v>49060.5</v>
      </c>
      <c r="AH28" s="28">
        <v>58110</v>
      </c>
      <c r="AI28" s="21">
        <f>SuiviExec[[#This Row],[PAT CA (€)]]-SuiviExec[[#This Row],[PAT Coût Total (€)]]</f>
        <v>9049.5</v>
      </c>
      <c r="AJ28" s="18">
        <f>IFERROR(SuiviExec[[#This Row],[PAT Marge (€)]]/SuiviExec[[#This Row],[PAT CA (€)]],"Saisir le PAT")</f>
        <v>0.15573051109963862</v>
      </c>
      <c r="AK28" s="29"/>
      <c r="AL28" s="28"/>
      <c r="AM28" s="29"/>
      <c r="AN28" s="28"/>
      <c r="AO28" s="30">
        <f>SuiviExec[[#This Row],[CA Vendu initial (€)]]*SuiviExec[[#This Row],[Avancement physique du chantier (%)]]</f>
        <v>58110</v>
      </c>
      <c r="AP28" s="23">
        <v>58110</v>
      </c>
      <c r="AQ28" s="20">
        <f>IF(SuiviExec[[#This Row],[Avancement physique du chantier (%)]]=0,0,SuiviExec[[#This Row],[Situation méritée (CA Produit)]]-SuiviExec[[#This Row],[Montant Facturé (€)]])</f>
        <v>0</v>
      </c>
      <c r="AR28" s="23">
        <v>0</v>
      </c>
      <c r="AS28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8" s="23">
        <v>0</v>
      </c>
      <c r="AU28" s="20">
        <f>SuiviExec[[#This Row],[Situation méritée (CA Produit)]]-SuiviExec[[#This Row],[CA Année N-1 (2020)]]</f>
        <v>58110</v>
      </c>
      <c r="AV28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-6909.4862236491972</v>
      </c>
      <c r="AW28" s="20">
        <f ca="1">SUM(SuiviExec[[#This Row],[Janvier 2022 CA]:[CA &gt; 2023]])</f>
        <v>0</v>
      </c>
      <c r="AX28" s="20">
        <f>SuiviExec[[#This Row],[Situation méritée (CA Produit)]]-SuiviExec[[#This Row],[CA Année N-1 (2020)]]-SuiviExec[[#This Row],[CA 2021 - Réalisé]]</f>
        <v>0</v>
      </c>
      <c r="AY28" s="23">
        <f>SuiviExec[[#This Row],[Avancement physique du chantier (%)]]*SuiviExec[[#This Row],[Budget MO (€)]]</f>
        <v>11948</v>
      </c>
      <c r="AZ28" s="23">
        <f>SuiviExec[[#This Row],[Avancement physique du chantier (%)]]*SuiviExec[[#This Row],[Budget Matériel (€)]]</f>
        <v>22200</v>
      </c>
      <c r="BA28" s="23">
        <f>SuiviExec[[#This Row],[Budget ST (€)]]*SuiviExec[[#This Row],[Avancement physique du chantier (%)]]</f>
        <v>14912.5</v>
      </c>
      <c r="BB28" s="20">
        <f>SUM(SuiviExec[[#This Row],[Charges 2021 MO (€)]:[Charges 2021 ST (€)]])</f>
        <v>49060.5</v>
      </c>
      <c r="BC28" s="31">
        <v>0</v>
      </c>
      <c r="BD28" s="42">
        <f>SuiviExec[[#This Row],[CA 2021 - Réalisé]]-SuiviExec[[#This Row],[Charges 2021 à date]]</f>
        <v>9049.5</v>
      </c>
      <c r="BE28" s="18">
        <f>IF(SuiviExec[[#This Row],[Avancement physique du chantier (%)]]&gt;0,IFERROR(SuiviExec[[#This Row],[Marge 2021 à date]]/SuiviExec[[#This Row],[CA 2021 - Réalisé]],""),"")</f>
        <v>0.15573051109963862</v>
      </c>
      <c r="BF28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8" s="29"/>
      <c r="BH28" s="33">
        <f>(SuiviExec[[#This Row],[Budget MO Etude (€)]]/Taux_Horaire_Etude+SuiviExec[[#This Row],[Budget MO Agent (heure)]])</f>
        <v>412</v>
      </c>
      <c r="BI28" s="34">
        <f ca="1">SuiviExec[[#This Row],[Estimation Budget MO (heures)]]-SUM(SuiviExec[[#This Row],[MO &lt; 2021]:[MO &gt; 2023]])</f>
        <v>0</v>
      </c>
      <c r="BJ28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8" s="19">
        <f t="shared" ca="1" si="8"/>
        <v>58.857142857142854</v>
      </c>
      <c r="BL28" s="19">
        <f t="shared" ca="1" si="8"/>
        <v>58.857142857142854</v>
      </c>
      <c r="BM28" s="19">
        <f t="shared" ca="1" si="8"/>
        <v>58.857142857142854</v>
      </c>
      <c r="BN28" s="19">
        <f t="shared" ca="1" si="8"/>
        <v>58.857142857142854</v>
      </c>
      <c r="BO28" s="19">
        <f t="shared" ca="1" si="8"/>
        <v>58.857142857142854</v>
      </c>
      <c r="BP28" s="19">
        <f t="shared" ca="1" si="8"/>
        <v>58.857142857142854</v>
      </c>
      <c r="BQ28" s="19">
        <f t="shared" ca="1" si="8"/>
        <v>58.857142857142854</v>
      </c>
      <c r="BR28" s="19">
        <f t="shared" ca="1" si="8"/>
        <v>0</v>
      </c>
      <c r="BS28" s="19">
        <f t="shared" ca="1" si="8"/>
        <v>0</v>
      </c>
      <c r="BT28" s="19">
        <f t="shared" ca="1" si="8"/>
        <v>0</v>
      </c>
      <c r="BU28" s="19">
        <f t="shared" ca="1" si="8"/>
        <v>0</v>
      </c>
      <c r="BV28" s="19">
        <f t="shared" ca="1" si="8"/>
        <v>0</v>
      </c>
      <c r="BW28" s="19">
        <f t="shared" ca="1" si="8"/>
        <v>0</v>
      </c>
      <c r="BX28" s="19">
        <f t="shared" ca="1" si="8"/>
        <v>0</v>
      </c>
      <c r="BY28" s="19">
        <f t="shared" ca="1" si="8"/>
        <v>0</v>
      </c>
      <c r="BZ28" s="19">
        <f t="shared" ca="1" si="8"/>
        <v>0</v>
      </c>
      <c r="CA28" s="19">
        <f t="shared" ca="1" si="6"/>
        <v>0</v>
      </c>
      <c r="CB28" s="19">
        <f t="shared" ca="1" si="6"/>
        <v>0</v>
      </c>
      <c r="CC28" s="19">
        <f t="shared" ca="1" si="6"/>
        <v>0</v>
      </c>
      <c r="CD28" s="19">
        <f t="shared" ca="1" si="6"/>
        <v>0</v>
      </c>
      <c r="CE28" s="19">
        <f t="shared" ca="1" si="6"/>
        <v>0</v>
      </c>
      <c r="CF28" s="19">
        <f t="shared" ca="1" si="6"/>
        <v>0</v>
      </c>
      <c r="CG28" s="19">
        <f t="shared" ca="1" si="6"/>
        <v>0</v>
      </c>
      <c r="CH28" s="19">
        <f t="shared" ca="1" si="6"/>
        <v>0</v>
      </c>
      <c r="CI28" s="19">
        <f t="shared" ca="1" si="6"/>
        <v>0</v>
      </c>
      <c r="CJ28" s="19">
        <f t="shared" ca="1" si="6"/>
        <v>0</v>
      </c>
      <c r="CK28" s="19">
        <f t="shared" ca="1" si="6"/>
        <v>0</v>
      </c>
      <c r="CL28" s="19">
        <f t="shared" ca="1" si="6"/>
        <v>0</v>
      </c>
      <c r="CM28" s="19">
        <f t="shared" ca="1" si="6"/>
        <v>0</v>
      </c>
      <c r="CN28" s="19">
        <f t="shared" ca="1" si="6"/>
        <v>0</v>
      </c>
      <c r="CO28" s="19">
        <f t="shared" ca="1" si="6"/>
        <v>0</v>
      </c>
      <c r="CP28" s="19">
        <f t="shared" ca="1" si="9"/>
        <v>0</v>
      </c>
      <c r="CQ28" s="19">
        <f t="shared" ca="1" si="9"/>
        <v>0</v>
      </c>
      <c r="CR28" s="19">
        <f t="shared" ca="1" si="9"/>
        <v>0</v>
      </c>
      <c r="CS28" s="19">
        <f t="shared" ca="1" si="9"/>
        <v>0</v>
      </c>
      <c r="CT28" s="19">
        <f t="shared" ca="1" si="9"/>
        <v>0</v>
      </c>
      <c r="CU28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8" s="35"/>
      <c r="CW28" s="36">
        <f ca="1">SuiviExec[[#This Row],[CA Vendu initial (€)]]-SUM(SuiviExec[[#This Row],[CA &lt; 2021]:[CA &gt; 2023]])</f>
        <v>0</v>
      </c>
      <c r="CX28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8" s="37">
        <f t="shared" ca="1" si="10"/>
        <v>8301.4285714285706</v>
      </c>
      <c r="CZ28" s="37">
        <f t="shared" ca="1" si="10"/>
        <v>8301.4285714285706</v>
      </c>
      <c r="DA28" s="37">
        <f t="shared" ca="1" si="10"/>
        <v>8301.4285714285706</v>
      </c>
      <c r="DB28" s="37">
        <f t="shared" ca="1" si="10"/>
        <v>8301.4285714285706</v>
      </c>
      <c r="DC28" s="37">
        <f t="shared" ca="1" si="10"/>
        <v>8301.4285714285706</v>
      </c>
      <c r="DD28" s="37">
        <f t="shared" ca="1" si="10"/>
        <v>8301.4285714285706</v>
      </c>
      <c r="DE28" s="37">
        <f t="shared" ca="1" si="10"/>
        <v>8301.4285714285706</v>
      </c>
      <c r="DF28" s="37">
        <f t="shared" ca="1" si="10"/>
        <v>0</v>
      </c>
      <c r="DG28" s="37">
        <f t="shared" ca="1" si="10"/>
        <v>0</v>
      </c>
      <c r="DH28" s="37">
        <f t="shared" ca="1" si="10"/>
        <v>0</v>
      </c>
      <c r="DI28" s="37">
        <f t="shared" ca="1" si="10"/>
        <v>0</v>
      </c>
      <c r="DJ28" s="37">
        <f t="shared" ca="1" si="10"/>
        <v>0</v>
      </c>
      <c r="DK28" s="37">
        <f t="shared" ca="1" si="10"/>
        <v>0</v>
      </c>
      <c r="DL28" s="37">
        <f t="shared" ca="1" si="10"/>
        <v>0</v>
      </c>
      <c r="DM28" s="37">
        <f t="shared" ca="1" si="10"/>
        <v>0</v>
      </c>
      <c r="DN28" s="37">
        <f t="shared" ca="1" si="10"/>
        <v>0</v>
      </c>
      <c r="DO28" s="37">
        <f t="shared" ca="1" si="7"/>
        <v>0</v>
      </c>
      <c r="DP28" s="37">
        <f t="shared" ca="1" si="7"/>
        <v>0</v>
      </c>
      <c r="DQ28" s="37">
        <f t="shared" ca="1" si="7"/>
        <v>0</v>
      </c>
      <c r="DR28" s="37">
        <f t="shared" ca="1" si="7"/>
        <v>0</v>
      </c>
      <c r="DS28" s="37">
        <f t="shared" ca="1" si="7"/>
        <v>0</v>
      </c>
      <c r="DT28" s="37">
        <f t="shared" ca="1" si="7"/>
        <v>0</v>
      </c>
      <c r="DU28" s="37">
        <f t="shared" ca="1" si="7"/>
        <v>0</v>
      </c>
      <c r="DV28" s="37">
        <f t="shared" ca="1" si="7"/>
        <v>0</v>
      </c>
      <c r="DW28" s="37">
        <f t="shared" ca="1" si="7"/>
        <v>0</v>
      </c>
      <c r="DX28" s="37">
        <f t="shared" ca="1" si="7"/>
        <v>0</v>
      </c>
      <c r="DY28" s="37">
        <f t="shared" ca="1" si="7"/>
        <v>0</v>
      </c>
      <c r="DZ28" s="37">
        <f t="shared" ca="1" si="7"/>
        <v>0</v>
      </c>
      <c r="EA28" s="37">
        <f t="shared" ca="1" si="7"/>
        <v>0</v>
      </c>
      <c r="EB28" s="37">
        <f t="shared" ca="1" si="7"/>
        <v>0</v>
      </c>
      <c r="EC28" s="37">
        <f t="shared" ca="1" si="7"/>
        <v>0</v>
      </c>
      <c r="ED28" s="37">
        <f t="shared" ca="1" si="11"/>
        <v>0</v>
      </c>
      <c r="EE28" s="37">
        <f t="shared" ca="1" si="11"/>
        <v>0</v>
      </c>
      <c r="EF28" s="37">
        <f t="shared" ca="1" si="11"/>
        <v>0</v>
      </c>
      <c r="EG28" s="37">
        <f t="shared" ca="1" si="11"/>
        <v>0</v>
      </c>
      <c r="EH28" s="37">
        <f t="shared" ca="1" si="11"/>
        <v>0</v>
      </c>
      <c r="EI28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8" s="38">
        <f>IFERROR(SuiviExec[[#This Row],[PAT CA (€)]]/SuiviExec[[#This Row],[CA Vendu initial (€)]],0)</f>
        <v>1</v>
      </c>
      <c r="EK28" s="39"/>
      <c r="EL28" s="40" t="str">
        <f>IF(OR(ISBLANK(SuiviExec[[#This Row],[Budget MO (€)]]),ISBLANK(SuiviExec[[#This Row],[Budget Matériel (€)]]),ISBLANK(SuiviExec[[#This Row],[Budget ST (€)]])),"Budget non détaillé","")</f>
        <v/>
      </c>
    </row>
    <row r="29" spans="1:142" ht="15.75" x14ac:dyDescent="0.25">
      <c r="A29" s="14" t="s">
        <v>244</v>
      </c>
      <c r="B29" s="14" t="s">
        <v>143</v>
      </c>
      <c r="C29" s="14" t="s">
        <v>144</v>
      </c>
      <c r="D29" s="14" t="s">
        <v>244</v>
      </c>
      <c r="E29" s="14" t="s">
        <v>244</v>
      </c>
      <c r="F29" s="14" t="s">
        <v>146</v>
      </c>
      <c r="G29" s="15" t="s">
        <v>245</v>
      </c>
      <c r="H29" s="16" t="s">
        <v>244</v>
      </c>
      <c r="I29" s="16" t="s">
        <v>248</v>
      </c>
      <c r="J29" s="17">
        <v>82537.399999999994</v>
      </c>
      <c r="K29" s="17">
        <v>19965.53</v>
      </c>
      <c r="L29" s="18">
        <f>IFERROR(SuiviExec[[#This Row],[Marge Vendue Initiale (€)]]/SuiviExec[[#This Row],[CA Vendu initial (€)]],"")</f>
        <v>0.24189676437590718</v>
      </c>
      <c r="M29" s="17"/>
      <c r="N29" s="19">
        <v>75</v>
      </c>
      <c r="O29" s="20">
        <f>SuiviExec[[#This Row],[Budget MO Etude (€)]]+SuiviExec[[#This Row],[Budget MO Agent (heure)]]*Taux_Horaire_Agent</f>
        <v>2175</v>
      </c>
      <c r="P29" s="17">
        <v>60396.869999999995</v>
      </c>
      <c r="Q29" s="17">
        <v>0</v>
      </c>
      <c r="R29" s="21">
        <f>SUM(SuiviExec[[#This Row],[Budget MO (€)]:[Budget ST (€)]])</f>
        <v>62571.869999999995</v>
      </c>
      <c r="S29" s="22">
        <v>44197</v>
      </c>
      <c r="T29" s="22">
        <v>44407</v>
      </c>
      <c r="U29" s="23">
        <v>1215</v>
      </c>
      <c r="V29" s="24" cm="1">
        <f t="array" ref="V29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29" s="20">
        <f>IFERROR(SuiviExec[[#This Row],[Réalisé MO Etude (€)]]+SuiviExec[[#This Row],[Réalisé MO Agent (heure)]]*Taux_Horaire_Agent,0)</f>
        <v>1215</v>
      </c>
      <c r="X2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29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29" s="21">
        <f>SUM(SuiviExec[[#This Row],[Réalisé MO (€)]:[Réalisé ST (€)]])</f>
        <v>1215</v>
      </c>
      <c r="AA29" s="26">
        <v>1</v>
      </c>
      <c r="AB29" s="41"/>
      <c r="AC29" s="41">
        <v>75</v>
      </c>
      <c r="AD29" s="20">
        <f>IFERROR(SuiviExec[[#This Row],[PAT MO Etude (€)]]+SuiviExec[[#This Row],[PAT MO Agent (heure)]]*Taux_Horaire_Agent,0)</f>
        <v>2175</v>
      </c>
      <c r="AE29" s="28">
        <f>SuiviExec[[#This Row],[Budget Matériel (€)]]</f>
        <v>60396.869999999995</v>
      </c>
      <c r="AF29" s="28">
        <f>SuiviExec[[#This Row],[Budget ST (€)]]</f>
        <v>0</v>
      </c>
      <c r="AG29" s="21">
        <f>SUM(SuiviExec[[#This Row],[PAT MO (€)]:[PAT ST (€)]])</f>
        <v>62571.869999999995</v>
      </c>
      <c r="AH29" s="28">
        <v>82537.399999999994</v>
      </c>
      <c r="AI29" s="21">
        <f>SuiviExec[[#This Row],[PAT CA (€)]]-SuiviExec[[#This Row],[PAT Coût Total (€)]]</f>
        <v>19965.53</v>
      </c>
      <c r="AJ29" s="18">
        <f>IFERROR(SuiviExec[[#This Row],[PAT Marge (€)]]/SuiviExec[[#This Row],[PAT CA (€)]],"Saisir le PAT")</f>
        <v>0.24189676437590718</v>
      </c>
      <c r="AK29" s="29"/>
      <c r="AL29" s="28"/>
      <c r="AM29" s="29"/>
      <c r="AN29" s="28"/>
      <c r="AO29" s="30">
        <f>SuiviExec[[#This Row],[CA Vendu initial (€)]]*SuiviExec[[#This Row],[Avancement physique du chantier (%)]]</f>
        <v>82537.399999999994</v>
      </c>
      <c r="AP29" s="23">
        <v>82537.399999999994</v>
      </c>
      <c r="AQ29" s="20">
        <f>IF(SuiviExec[[#This Row],[Avancement physique du chantier (%)]]=0,0,SuiviExec[[#This Row],[Situation méritée (CA Produit)]]-SuiviExec[[#This Row],[Montant Facturé (€)]])</f>
        <v>0</v>
      </c>
      <c r="AR29" s="23">
        <v>0</v>
      </c>
      <c r="AS29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29" s="23">
        <v>0</v>
      </c>
      <c r="AU29" s="20">
        <f>SuiviExec[[#This Row],[Situation méritée (CA Produit)]]-SuiviExec[[#This Row],[CA Année N-1 (2020)]]</f>
        <v>82537.399999999994</v>
      </c>
      <c r="AV29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-15621.280538755207</v>
      </c>
      <c r="AW29" s="20">
        <f ca="1">SUM(SuiviExec[[#This Row],[Janvier 2022 CA]:[CA &gt; 2023]])</f>
        <v>0</v>
      </c>
      <c r="AX29" s="20">
        <f>SuiviExec[[#This Row],[Situation méritée (CA Produit)]]-SuiviExec[[#This Row],[CA Année N-1 (2020)]]-SuiviExec[[#This Row],[CA 2021 - Réalisé]]</f>
        <v>0</v>
      </c>
      <c r="AY29" s="23">
        <f>SuiviExec[[#This Row],[Avancement physique du chantier (%)]]*SuiviExec[[#This Row],[Budget MO (€)]]</f>
        <v>2175</v>
      </c>
      <c r="AZ29" s="23">
        <f>SuiviExec[[#This Row],[Avancement physique du chantier (%)]]*SuiviExec[[#This Row],[Budget Matériel (€)]]</f>
        <v>60396.869999999995</v>
      </c>
      <c r="BA29" s="23">
        <f>SuiviExec[[#This Row],[Budget ST (€)]]*SuiviExec[[#This Row],[Avancement physique du chantier (%)]]</f>
        <v>0</v>
      </c>
      <c r="BB29" s="20">
        <f>SUM(SuiviExec[[#This Row],[Charges 2021 MO (€)]:[Charges 2021 ST (€)]])</f>
        <v>62571.869999999995</v>
      </c>
      <c r="BC29" s="31">
        <v>0</v>
      </c>
      <c r="BD29" s="42">
        <f>SuiviExec[[#This Row],[CA 2021 - Réalisé]]-SuiviExec[[#This Row],[Charges 2021 à date]]</f>
        <v>19965.53</v>
      </c>
      <c r="BE29" s="18">
        <f>IF(SuiviExec[[#This Row],[Avancement physique du chantier (%)]]&gt;0,IFERROR(SuiviExec[[#This Row],[Marge 2021 à date]]/SuiviExec[[#This Row],[CA 2021 - Réalisé]],""),"")</f>
        <v>0.24189676437590718</v>
      </c>
      <c r="BF29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29" s="29"/>
      <c r="BH29" s="33">
        <f>(SuiviExec[[#This Row],[Budget MO Etude (€)]]/Taux_Horaire_Etude+SuiviExec[[#This Row],[Budget MO Agent (heure)]])</f>
        <v>75</v>
      </c>
      <c r="BI29" s="34">
        <f ca="1">SuiviExec[[#This Row],[Estimation Budget MO (heures)]]-SUM(SuiviExec[[#This Row],[MO &lt; 2021]:[MO &gt; 2023]])</f>
        <v>0</v>
      </c>
      <c r="BJ29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29" s="19">
        <f t="shared" ca="1" si="8"/>
        <v>10.714285714285714</v>
      </c>
      <c r="BL29" s="19">
        <f t="shared" ca="1" si="8"/>
        <v>10.714285714285714</v>
      </c>
      <c r="BM29" s="19">
        <f t="shared" ca="1" si="8"/>
        <v>10.714285714285714</v>
      </c>
      <c r="BN29" s="19">
        <f t="shared" ca="1" si="8"/>
        <v>10.714285714285714</v>
      </c>
      <c r="BO29" s="19">
        <f t="shared" ca="1" si="8"/>
        <v>10.714285714285714</v>
      </c>
      <c r="BP29" s="19">
        <f t="shared" ca="1" si="8"/>
        <v>10.714285714285714</v>
      </c>
      <c r="BQ29" s="19">
        <f t="shared" ca="1" si="8"/>
        <v>10.714285714285714</v>
      </c>
      <c r="BR29" s="19">
        <f t="shared" ca="1" si="8"/>
        <v>0</v>
      </c>
      <c r="BS29" s="19">
        <f t="shared" ca="1" si="8"/>
        <v>0</v>
      </c>
      <c r="BT29" s="19">
        <f t="shared" ca="1" si="8"/>
        <v>0</v>
      </c>
      <c r="BU29" s="19">
        <f t="shared" ca="1" si="8"/>
        <v>0</v>
      </c>
      <c r="BV29" s="19">
        <f t="shared" ca="1" si="8"/>
        <v>0</v>
      </c>
      <c r="BW29" s="19">
        <f t="shared" ca="1" si="8"/>
        <v>0</v>
      </c>
      <c r="BX29" s="19">
        <f t="shared" ca="1" si="8"/>
        <v>0</v>
      </c>
      <c r="BY29" s="19">
        <f t="shared" ca="1" si="8"/>
        <v>0</v>
      </c>
      <c r="BZ29" s="19">
        <f t="shared" ca="1" si="8"/>
        <v>0</v>
      </c>
      <c r="CA29" s="19">
        <f t="shared" ca="1" si="6"/>
        <v>0</v>
      </c>
      <c r="CB29" s="19">
        <f t="shared" ca="1" si="6"/>
        <v>0</v>
      </c>
      <c r="CC29" s="19">
        <f t="shared" ca="1" si="6"/>
        <v>0</v>
      </c>
      <c r="CD29" s="19">
        <f t="shared" ca="1" si="6"/>
        <v>0</v>
      </c>
      <c r="CE29" s="19">
        <f t="shared" ca="1" si="6"/>
        <v>0</v>
      </c>
      <c r="CF29" s="19">
        <f t="shared" ca="1" si="6"/>
        <v>0</v>
      </c>
      <c r="CG29" s="19">
        <f t="shared" ca="1" si="6"/>
        <v>0</v>
      </c>
      <c r="CH29" s="19">
        <f t="shared" ca="1" si="6"/>
        <v>0</v>
      </c>
      <c r="CI29" s="19">
        <f t="shared" ca="1" si="6"/>
        <v>0</v>
      </c>
      <c r="CJ29" s="19">
        <f t="shared" ca="1" si="6"/>
        <v>0</v>
      </c>
      <c r="CK29" s="19">
        <f t="shared" ca="1" si="6"/>
        <v>0</v>
      </c>
      <c r="CL29" s="19">
        <f t="shared" ca="1" si="6"/>
        <v>0</v>
      </c>
      <c r="CM29" s="19">
        <f t="shared" ca="1" si="6"/>
        <v>0</v>
      </c>
      <c r="CN29" s="19">
        <f t="shared" ca="1" si="6"/>
        <v>0</v>
      </c>
      <c r="CO29" s="19">
        <f t="shared" ca="1" si="6"/>
        <v>0</v>
      </c>
      <c r="CP29" s="19">
        <f t="shared" ca="1" si="9"/>
        <v>0</v>
      </c>
      <c r="CQ29" s="19">
        <f t="shared" ca="1" si="9"/>
        <v>0</v>
      </c>
      <c r="CR29" s="19">
        <f t="shared" ca="1" si="9"/>
        <v>0</v>
      </c>
      <c r="CS29" s="19">
        <f t="shared" ca="1" si="9"/>
        <v>0</v>
      </c>
      <c r="CT29" s="19">
        <f t="shared" ca="1" si="9"/>
        <v>0</v>
      </c>
      <c r="CU29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29" s="35"/>
      <c r="CW29" s="36">
        <f ca="1">SuiviExec[[#This Row],[CA Vendu initial (€)]]-SUM(SuiviExec[[#This Row],[CA &lt; 2021]:[CA &gt; 2023]])</f>
        <v>0</v>
      </c>
      <c r="CX29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29" s="37">
        <f t="shared" ca="1" si="10"/>
        <v>11791.057142857142</v>
      </c>
      <c r="CZ29" s="37">
        <f t="shared" ca="1" si="10"/>
        <v>11791.057142857142</v>
      </c>
      <c r="DA29" s="37">
        <f t="shared" ca="1" si="10"/>
        <v>11791.057142857142</v>
      </c>
      <c r="DB29" s="37">
        <f t="shared" ca="1" si="10"/>
        <v>11791.057142857142</v>
      </c>
      <c r="DC29" s="37">
        <f t="shared" ca="1" si="10"/>
        <v>11791.057142857142</v>
      </c>
      <c r="DD29" s="37">
        <f t="shared" ca="1" si="10"/>
        <v>11791.057142857142</v>
      </c>
      <c r="DE29" s="37">
        <f t="shared" ca="1" si="10"/>
        <v>11791.057142857142</v>
      </c>
      <c r="DF29" s="37">
        <f t="shared" ca="1" si="10"/>
        <v>0</v>
      </c>
      <c r="DG29" s="37">
        <f t="shared" ca="1" si="10"/>
        <v>0</v>
      </c>
      <c r="DH29" s="37">
        <f t="shared" ca="1" si="10"/>
        <v>0</v>
      </c>
      <c r="DI29" s="37">
        <f t="shared" ca="1" si="10"/>
        <v>0</v>
      </c>
      <c r="DJ29" s="37">
        <f t="shared" ca="1" si="10"/>
        <v>0</v>
      </c>
      <c r="DK29" s="37">
        <f t="shared" ca="1" si="10"/>
        <v>0</v>
      </c>
      <c r="DL29" s="37">
        <f t="shared" ca="1" si="10"/>
        <v>0</v>
      </c>
      <c r="DM29" s="37">
        <f t="shared" ca="1" si="10"/>
        <v>0</v>
      </c>
      <c r="DN29" s="37">
        <f t="shared" ca="1" si="10"/>
        <v>0</v>
      </c>
      <c r="DO29" s="37">
        <f t="shared" ca="1" si="7"/>
        <v>0</v>
      </c>
      <c r="DP29" s="37">
        <f t="shared" ca="1" si="7"/>
        <v>0</v>
      </c>
      <c r="DQ29" s="37">
        <f t="shared" ca="1" si="7"/>
        <v>0</v>
      </c>
      <c r="DR29" s="37">
        <f t="shared" ca="1" si="7"/>
        <v>0</v>
      </c>
      <c r="DS29" s="37">
        <f t="shared" ca="1" si="7"/>
        <v>0</v>
      </c>
      <c r="DT29" s="37">
        <f t="shared" ca="1" si="7"/>
        <v>0</v>
      </c>
      <c r="DU29" s="37">
        <f t="shared" ca="1" si="7"/>
        <v>0</v>
      </c>
      <c r="DV29" s="37">
        <f t="shared" ca="1" si="7"/>
        <v>0</v>
      </c>
      <c r="DW29" s="37">
        <f t="shared" ca="1" si="7"/>
        <v>0</v>
      </c>
      <c r="DX29" s="37">
        <f t="shared" ca="1" si="7"/>
        <v>0</v>
      </c>
      <c r="DY29" s="37">
        <f t="shared" ca="1" si="7"/>
        <v>0</v>
      </c>
      <c r="DZ29" s="37">
        <f t="shared" ca="1" si="7"/>
        <v>0</v>
      </c>
      <c r="EA29" s="37">
        <f t="shared" ca="1" si="7"/>
        <v>0</v>
      </c>
      <c r="EB29" s="37">
        <f t="shared" ca="1" si="7"/>
        <v>0</v>
      </c>
      <c r="EC29" s="37">
        <f t="shared" ca="1" si="7"/>
        <v>0</v>
      </c>
      <c r="ED29" s="37">
        <f t="shared" ca="1" si="11"/>
        <v>0</v>
      </c>
      <c r="EE29" s="37">
        <f t="shared" ca="1" si="11"/>
        <v>0</v>
      </c>
      <c r="EF29" s="37">
        <f t="shared" ca="1" si="11"/>
        <v>0</v>
      </c>
      <c r="EG29" s="37">
        <f t="shared" ca="1" si="11"/>
        <v>0</v>
      </c>
      <c r="EH29" s="37">
        <f t="shared" ca="1" si="11"/>
        <v>0</v>
      </c>
      <c r="EI29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29" s="38">
        <f>IFERROR(SuiviExec[[#This Row],[PAT CA (€)]]/SuiviExec[[#This Row],[CA Vendu initial (€)]],0)</f>
        <v>1</v>
      </c>
      <c r="EK29" s="39"/>
      <c r="EL29" s="40" t="str">
        <f>IF(OR(ISBLANK(SuiviExec[[#This Row],[Budget MO (€)]]),ISBLANK(SuiviExec[[#This Row],[Budget Matériel (€)]]),ISBLANK(SuiviExec[[#This Row],[Budget ST (€)]])),"Budget non détaillé","")</f>
        <v/>
      </c>
    </row>
    <row r="30" spans="1:142" ht="15.75" x14ac:dyDescent="0.25">
      <c r="A30" s="14" t="s">
        <v>195</v>
      </c>
      <c r="B30" s="14" t="s">
        <v>249</v>
      </c>
      <c r="C30" s="14" t="s">
        <v>144</v>
      </c>
      <c r="D30" s="14" t="s">
        <v>174</v>
      </c>
      <c r="E30" s="14" t="s">
        <v>174</v>
      </c>
      <c r="F30" s="14" t="s">
        <v>146</v>
      </c>
      <c r="G30" s="15">
        <v>44105</v>
      </c>
      <c r="H30" s="16" t="s">
        <v>250</v>
      </c>
      <c r="I30" s="16" t="s">
        <v>251</v>
      </c>
      <c r="J30" s="17">
        <v>42365</v>
      </c>
      <c r="K30" s="17">
        <v>4668</v>
      </c>
      <c r="L30" s="18">
        <f>IFERROR(SuiviExec[[#This Row],[Marge Vendue Initiale (€)]]/SuiviExec[[#This Row],[CA Vendu initial (€)]],"")</f>
        <v>0.11018529446477045</v>
      </c>
      <c r="M30" s="17"/>
      <c r="N30" s="19">
        <v>93</v>
      </c>
      <c r="O30" s="20">
        <f>SuiviExec[[#This Row],[Budget MO Etude (€)]]+SuiviExec[[#This Row],[Budget MO Agent (heure)]]*Taux_Horaire_Agent</f>
        <v>2697</v>
      </c>
      <c r="P30" s="17">
        <v>30000</v>
      </c>
      <c r="Q30" s="17">
        <v>5000</v>
      </c>
      <c r="R30" s="21">
        <f>SUM(SuiviExec[[#This Row],[Budget MO (€)]:[Budget ST (€)]])</f>
        <v>37697</v>
      </c>
      <c r="S30" s="22">
        <v>44197</v>
      </c>
      <c r="T30" s="22">
        <v>44239</v>
      </c>
      <c r="U30" s="23"/>
      <c r="V30" s="24" cm="1">
        <f t="array" ref="V30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0" s="20">
        <f>IFERROR(SuiviExec[[#This Row],[Réalisé MO Etude (€)]]+SuiviExec[[#This Row],[Réalisé MO Agent (heure)]]*Taux_Horaire_Agent,0)</f>
        <v>0</v>
      </c>
      <c r="X3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0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0" s="21">
        <f>SUM(SuiviExec[[#This Row],[Réalisé MO (€)]:[Réalisé ST (€)]])</f>
        <v>0</v>
      </c>
      <c r="AA30" s="26">
        <v>1</v>
      </c>
      <c r="AB30" s="41"/>
      <c r="AC30" s="41">
        <v>93</v>
      </c>
      <c r="AD30" s="20">
        <f>IFERROR(SuiviExec[[#This Row],[PAT MO Etude (€)]]+SuiviExec[[#This Row],[PAT MO Agent (heure)]]*Taux_Horaire_Agent,0)</f>
        <v>2697</v>
      </c>
      <c r="AE30" s="28">
        <f>SuiviExec[[#This Row],[Budget Matériel (€)]]</f>
        <v>30000</v>
      </c>
      <c r="AF30" s="28">
        <f>SuiviExec[[#This Row],[Budget ST (€)]]</f>
        <v>5000</v>
      </c>
      <c r="AG30" s="21">
        <f>SUM(SuiviExec[[#This Row],[PAT MO (€)]:[PAT ST (€)]])</f>
        <v>37697</v>
      </c>
      <c r="AH30" s="28">
        <v>42365</v>
      </c>
      <c r="AI30" s="21">
        <f>SuiviExec[[#This Row],[PAT CA (€)]]-SuiviExec[[#This Row],[PAT Coût Total (€)]]</f>
        <v>4668</v>
      </c>
      <c r="AJ30" s="18">
        <f>IFERROR(SuiviExec[[#This Row],[PAT Marge (€)]]/SuiviExec[[#This Row],[PAT CA (€)]],"Saisir le PAT")</f>
        <v>0.11018529446477045</v>
      </c>
      <c r="AK30" s="29"/>
      <c r="AL30" s="28"/>
      <c r="AM30" s="29"/>
      <c r="AN30" s="28"/>
      <c r="AO30" s="30">
        <f>SuiviExec[[#This Row],[CA Vendu initial (€)]]*SuiviExec[[#This Row],[Avancement physique du chantier (%)]]</f>
        <v>42365</v>
      </c>
      <c r="AP30" s="23">
        <v>42365</v>
      </c>
      <c r="AQ30" s="20">
        <f>IF(SuiviExec[[#This Row],[Avancement physique du chantier (%)]]=0,0,SuiviExec[[#This Row],[Situation méritée (CA Produit)]]-SuiviExec[[#This Row],[Montant Facturé (€)]])</f>
        <v>0</v>
      </c>
      <c r="AR30" s="23">
        <v>0</v>
      </c>
      <c r="AS30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0" s="23">
        <v>0</v>
      </c>
      <c r="AU30" s="20">
        <f>SuiviExec[[#This Row],[Situation méritée (CA Produit)]]-SuiviExec[[#This Row],[CA Année N-1 (2020)]]</f>
        <v>42365</v>
      </c>
      <c r="AV30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-44118.061609677163</v>
      </c>
      <c r="AW30" s="20">
        <f ca="1">SUM(SuiviExec[[#This Row],[Janvier 2022 CA]:[CA &gt; 2023]])</f>
        <v>0</v>
      </c>
      <c r="AX30" s="20">
        <f>SuiviExec[[#This Row],[Situation méritée (CA Produit)]]-SuiviExec[[#This Row],[CA Année N-1 (2020)]]-SuiviExec[[#This Row],[CA 2021 - Réalisé]]</f>
        <v>0</v>
      </c>
      <c r="AY30" s="23">
        <f>SuiviExec[[#This Row],[Avancement physique du chantier (%)]]*SuiviExec[[#This Row],[Budget MO (€)]]</f>
        <v>2697</v>
      </c>
      <c r="AZ30" s="23">
        <f>SuiviExec[[#This Row],[Avancement physique du chantier (%)]]*SuiviExec[[#This Row],[Budget Matériel (€)]]</f>
        <v>30000</v>
      </c>
      <c r="BA30" s="23">
        <f>SuiviExec[[#This Row],[Budget ST (€)]]*SuiviExec[[#This Row],[Avancement physique du chantier (%)]]</f>
        <v>5000</v>
      </c>
      <c r="BB30" s="20">
        <f>SUM(SuiviExec[[#This Row],[Charges 2021 MO (€)]:[Charges 2021 ST (€)]])</f>
        <v>37697</v>
      </c>
      <c r="BC30" s="31">
        <v>0</v>
      </c>
      <c r="BD30" s="42">
        <f>SuiviExec[[#This Row],[CA 2021 - Réalisé]]-SuiviExec[[#This Row],[Charges 2021 à date]]</f>
        <v>4668</v>
      </c>
      <c r="BE30" s="18">
        <f>IF(SuiviExec[[#This Row],[Avancement physique du chantier (%)]]&gt;0,IFERROR(SuiviExec[[#This Row],[Marge 2021 à date]]/SuiviExec[[#This Row],[CA 2021 - Réalisé]],""),"")</f>
        <v>0.11018529446477045</v>
      </c>
      <c r="BF30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0" s="29"/>
      <c r="BH30" s="33">
        <f>(SuiviExec[[#This Row],[Budget MO Etude (€)]]/Taux_Horaire_Etude+SuiviExec[[#This Row],[Budget MO Agent (heure)]])</f>
        <v>93</v>
      </c>
      <c r="BI30" s="34">
        <f ca="1">SuiviExec[[#This Row],[Estimation Budget MO (heures)]]-SUM(SuiviExec[[#This Row],[MO &lt; 2021]:[MO &gt; 2023]])</f>
        <v>0</v>
      </c>
      <c r="BJ30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0" s="19">
        <f t="shared" ca="1" si="8"/>
        <v>46.5</v>
      </c>
      <c r="BL30" s="19">
        <f t="shared" ca="1" si="8"/>
        <v>46.5</v>
      </c>
      <c r="BM30" s="19">
        <f t="shared" ca="1" si="8"/>
        <v>0</v>
      </c>
      <c r="BN30" s="19">
        <f t="shared" ca="1" si="8"/>
        <v>0</v>
      </c>
      <c r="BO30" s="19">
        <f t="shared" ca="1" si="8"/>
        <v>0</v>
      </c>
      <c r="BP30" s="19">
        <f t="shared" ca="1" si="8"/>
        <v>0</v>
      </c>
      <c r="BQ30" s="19">
        <f t="shared" ca="1" si="8"/>
        <v>0</v>
      </c>
      <c r="BR30" s="19">
        <f t="shared" ca="1" si="8"/>
        <v>0</v>
      </c>
      <c r="BS30" s="19">
        <f t="shared" ca="1" si="8"/>
        <v>0</v>
      </c>
      <c r="BT30" s="19">
        <f t="shared" ca="1" si="8"/>
        <v>0</v>
      </c>
      <c r="BU30" s="19">
        <f t="shared" ca="1" si="8"/>
        <v>0</v>
      </c>
      <c r="BV30" s="19">
        <f t="shared" ca="1" si="8"/>
        <v>0</v>
      </c>
      <c r="BW30" s="19">
        <f t="shared" ca="1" si="8"/>
        <v>0</v>
      </c>
      <c r="BX30" s="19">
        <f t="shared" ca="1" si="8"/>
        <v>0</v>
      </c>
      <c r="BY30" s="19">
        <f t="shared" ca="1" si="8"/>
        <v>0</v>
      </c>
      <c r="BZ30" s="19">
        <f t="shared" ca="1" si="8"/>
        <v>0</v>
      </c>
      <c r="CA30" s="19">
        <f t="shared" ca="1" si="6"/>
        <v>0</v>
      </c>
      <c r="CB30" s="19">
        <f t="shared" ca="1" si="6"/>
        <v>0</v>
      </c>
      <c r="CC30" s="19">
        <f t="shared" ca="1" si="6"/>
        <v>0</v>
      </c>
      <c r="CD30" s="19">
        <f t="shared" ca="1" si="6"/>
        <v>0</v>
      </c>
      <c r="CE30" s="19">
        <f t="shared" ca="1" si="6"/>
        <v>0</v>
      </c>
      <c r="CF30" s="19">
        <f t="shared" ca="1" si="6"/>
        <v>0</v>
      </c>
      <c r="CG30" s="19">
        <f t="shared" ca="1" si="6"/>
        <v>0</v>
      </c>
      <c r="CH30" s="19">
        <f t="shared" ca="1" si="6"/>
        <v>0</v>
      </c>
      <c r="CI30" s="19">
        <f t="shared" ca="1" si="6"/>
        <v>0</v>
      </c>
      <c r="CJ30" s="19">
        <f t="shared" ca="1" si="6"/>
        <v>0</v>
      </c>
      <c r="CK30" s="19">
        <f t="shared" ca="1" si="6"/>
        <v>0</v>
      </c>
      <c r="CL30" s="19">
        <f t="shared" ca="1" si="6"/>
        <v>0</v>
      </c>
      <c r="CM30" s="19">
        <f t="shared" ca="1" si="6"/>
        <v>0</v>
      </c>
      <c r="CN30" s="19">
        <f t="shared" ca="1" si="6"/>
        <v>0</v>
      </c>
      <c r="CO30" s="19">
        <f t="shared" ca="1" si="6"/>
        <v>0</v>
      </c>
      <c r="CP30" s="19">
        <f t="shared" ca="1" si="9"/>
        <v>0</v>
      </c>
      <c r="CQ30" s="19">
        <f t="shared" ca="1" si="9"/>
        <v>0</v>
      </c>
      <c r="CR30" s="19">
        <f t="shared" ca="1" si="9"/>
        <v>0</v>
      </c>
      <c r="CS30" s="19">
        <f t="shared" ca="1" si="9"/>
        <v>0</v>
      </c>
      <c r="CT30" s="19">
        <f t="shared" ca="1" si="9"/>
        <v>0</v>
      </c>
      <c r="CU30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0" s="35"/>
      <c r="CW30" s="36">
        <f ca="1">SuiviExec[[#This Row],[CA Vendu initial (€)]]-SUM(SuiviExec[[#This Row],[CA &lt; 2021]:[CA &gt; 2023]])</f>
        <v>0</v>
      </c>
      <c r="CX30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0" s="37">
        <f t="shared" ca="1" si="10"/>
        <v>21182.5</v>
      </c>
      <c r="CZ30" s="37">
        <f t="shared" ca="1" si="10"/>
        <v>21182.5</v>
      </c>
      <c r="DA30" s="37">
        <f t="shared" ca="1" si="10"/>
        <v>0</v>
      </c>
      <c r="DB30" s="37">
        <f t="shared" ca="1" si="10"/>
        <v>0</v>
      </c>
      <c r="DC30" s="37">
        <f t="shared" ca="1" si="10"/>
        <v>0</v>
      </c>
      <c r="DD30" s="37">
        <f t="shared" ca="1" si="10"/>
        <v>0</v>
      </c>
      <c r="DE30" s="37">
        <f t="shared" ca="1" si="10"/>
        <v>0</v>
      </c>
      <c r="DF30" s="37">
        <f t="shared" ca="1" si="10"/>
        <v>0</v>
      </c>
      <c r="DG30" s="37">
        <f t="shared" ca="1" si="10"/>
        <v>0</v>
      </c>
      <c r="DH30" s="37">
        <f t="shared" ca="1" si="10"/>
        <v>0</v>
      </c>
      <c r="DI30" s="37">
        <f t="shared" ca="1" si="10"/>
        <v>0</v>
      </c>
      <c r="DJ30" s="37">
        <f t="shared" ca="1" si="10"/>
        <v>0</v>
      </c>
      <c r="DK30" s="37">
        <f t="shared" ca="1" si="10"/>
        <v>0</v>
      </c>
      <c r="DL30" s="37">
        <f t="shared" ca="1" si="10"/>
        <v>0</v>
      </c>
      <c r="DM30" s="37">
        <f t="shared" ca="1" si="10"/>
        <v>0</v>
      </c>
      <c r="DN30" s="37">
        <f t="shared" ca="1" si="10"/>
        <v>0</v>
      </c>
      <c r="DO30" s="37">
        <f t="shared" ca="1" si="7"/>
        <v>0</v>
      </c>
      <c r="DP30" s="37">
        <f t="shared" ca="1" si="7"/>
        <v>0</v>
      </c>
      <c r="DQ30" s="37">
        <f t="shared" ca="1" si="7"/>
        <v>0</v>
      </c>
      <c r="DR30" s="37">
        <f t="shared" ca="1" si="7"/>
        <v>0</v>
      </c>
      <c r="DS30" s="37">
        <f t="shared" ca="1" si="7"/>
        <v>0</v>
      </c>
      <c r="DT30" s="37">
        <f t="shared" ca="1" si="7"/>
        <v>0</v>
      </c>
      <c r="DU30" s="37">
        <f t="shared" ca="1" si="7"/>
        <v>0</v>
      </c>
      <c r="DV30" s="37">
        <f t="shared" ca="1" si="7"/>
        <v>0</v>
      </c>
      <c r="DW30" s="37">
        <f t="shared" ca="1" si="7"/>
        <v>0</v>
      </c>
      <c r="DX30" s="37">
        <f t="shared" ca="1" si="7"/>
        <v>0</v>
      </c>
      <c r="DY30" s="37">
        <f t="shared" ca="1" si="7"/>
        <v>0</v>
      </c>
      <c r="DZ30" s="37">
        <f t="shared" ca="1" si="7"/>
        <v>0</v>
      </c>
      <c r="EA30" s="37">
        <f t="shared" ca="1" si="7"/>
        <v>0</v>
      </c>
      <c r="EB30" s="37">
        <f t="shared" ca="1" si="7"/>
        <v>0</v>
      </c>
      <c r="EC30" s="37">
        <f t="shared" ca="1" si="7"/>
        <v>0</v>
      </c>
      <c r="ED30" s="37">
        <f t="shared" ca="1" si="11"/>
        <v>0</v>
      </c>
      <c r="EE30" s="37">
        <f t="shared" ca="1" si="11"/>
        <v>0</v>
      </c>
      <c r="EF30" s="37">
        <f t="shared" ca="1" si="11"/>
        <v>0</v>
      </c>
      <c r="EG30" s="37">
        <f t="shared" ca="1" si="11"/>
        <v>0</v>
      </c>
      <c r="EH30" s="37">
        <f t="shared" ca="1" si="11"/>
        <v>0</v>
      </c>
      <c r="EI30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0" s="38">
        <f>IFERROR(SuiviExec[[#This Row],[PAT CA (€)]]/SuiviExec[[#This Row],[CA Vendu initial (€)]],0)</f>
        <v>1</v>
      </c>
      <c r="EK30" s="39"/>
      <c r="EL30" s="40" t="str">
        <f>IF(OR(ISBLANK(SuiviExec[[#This Row],[Budget MO (€)]]),ISBLANK(SuiviExec[[#This Row],[Budget Matériel (€)]]),ISBLANK(SuiviExec[[#This Row],[Budget ST (€)]])),"Budget non détaillé","")</f>
        <v/>
      </c>
    </row>
    <row r="31" spans="1:142" ht="15.75" x14ac:dyDescent="0.25">
      <c r="A31" s="14" t="s">
        <v>252</v>
      </c>
      <c r="B31" s="14" t="s">
        <v>169</v>
      </c>
      <c r="C31" s="14" t="s">
        <v>144</v>
      </c>
      <c r="D31" s="14" t="s">
        <v>152</v>
      </c>
      <c r="E31" s="14" t="s">
        <v>152</v>
      </c>
      <c r="F31" s="14" t="s">
        <v>146</v>
      </c>
      <c r="G31" s="15">
        <v>44197</v>
      </c>
      <c r="H31" s="16" t="s">
        <v>253</v>
      </c>
      <c r="I31" s="16" t="s">
        <v>254</v>
      </c>
      <c r="J31" s="17">
        <v>4070</v>
      </c>
      <c r="K31" s="17">
        <v>2147</v>
      </c>
      <c r="L31" s="18">
        <f>IFERROR(SuiviExec[[#This Row],[Marge Vendue Initiale (€)]]/SuiviExec[[#This Row],[CA Vendu initial (€)]],"")</f>
        <v>0.52751842751842748</v>
      </c>
      <c r="M31" s="17"/>
      <c r="N31" s="19">
        <v>7</v>
      </c>
      <c r="O31" s="20">
        <f>SuiviExec[[#This Row],[Budget MO Etude (€)]]+SuiviExec[[#This Row],[Budget MO Agent (heure)]]*Taux_Horaire_Agent</f>
        <v>203</v>
      </c>
      <c r="P31" s="17">
        <v>1240</v>
      </c>
      <c r="Q31" s="17">
        <v>480</v>
      </c>
      <c r="R31" s="21">
        <f>SUM(SuiviExec[[#This Row],[Budget MO (€)]:[Budget ST (€)]])</f>
        <v>1923</v>
      </c>
      <c r="S31" s="22">
        <v>44489</v>
      </c>
      <c r="T31" s="22">
        <v>44496</v>
      </c>
      <c r="U31" s="23"/>
      <c r="V31" s="24" cm="1">
        <f t="array" ref="V31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1" s="20">
        <f>IFERROR(SuiviExec[[#This Row],[Réalisé MO Etude (€)]]+SuiviExec[[#This Row],[Réalisé MO Agent (heure)]]*Taux_Horaire_Agent,0)</f>
        <v>0</v>
      </c>
      <c r="X3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1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1" s="21">
        <f>SUM(SuiviExec[[#This Row],[Réalisé MO (€)]:[Réalisé ST (€)]])</f>
        <v>0</v>
      </c>
      <c r="AA31" s="26">
        <v>1</v>
      </c>
      <c r="AB31" s="41"/>
      <c r="AC31" s="41">
        <v>7</v>
      </c>
      <c r="AD31" s="20">
        <f>IFERROR(SuiviExec[[#This Row],[PAT MO Etude (€)]]+SuiviExec[[#This Row],[PAT MO Agent (heure)]]*Taux_Horaire_Agent,0)</f>
        <v>203</v>
      </c>
      <c r="AE31" s="28">
        <f>SuiviExec[[#This Row],[Budget Matériel (€)]]</f>
        <v>1240</v>
      </c>
      <c r="AF31" s="28">
        <f>SuiviExec[[#This Row],[Budget ST (€)]]</f>
        <v>480</v>
      </c>
      <c r="AG31" s="21">
        <f>SUM(SuiviExec[[#This Row],[PAT MO (€)]:[PAT ST (€)]])</f>
        <v>1923</v>
      </c>
      <c r="AH31" s="28">
        <v>4070</v>
      </c>
      <c r="AI31" s="21">
        <f>SuiviExec[[#This Row],[PAT CA (€)]]-SuiviExec[[#This Row],[PAT Coût Total (€)]]</f>
        <v>2147</v>
      </c>
      <c r="AJ31" s="18">
        <f>IFERROR(SuiviExec[[#This Row],[PAT Marge (€)]]/SuiviExec[[#This Row],[PAT CA (€)]],"Saisir le PAT")</f>
        <v>0.52751842751842748</v>
      </c>
      <c r="AK31" s="29"/>
      <c r="AL31" s="28"/>
      <c r="AM31" s="29"/>
      <c r="AN31" s="28"/>
      <c r="AO31" s="30">
        <f>SuiviExec[[#This Row],[CA Vendu initial (€)]]*SuiviExec[[#This Row],[Avancement physique du chantier (%)]]</f>
        <v>4070</v>
      </c>
      <c r="AP31" s="23">
        <v>4070</v>
      </c>
      <c r="AQ31" s="20">
        <f>IF(SuiviExec[[#This Row],[Avancement physique du chantier (%)]]=0,0,SuiviExec[[#This Row],[Situation méritée (CA Produit)]]-SuiviExec[[#This Row],[Montant Facturé (€)]])</f>
        <v>0</v>
      </c>
      <c r="AR31" s="23">
        <v>0</v>
      </c>
      <c r="AS31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1" s="23">
        <v>0</v>
      </c>
      <c r="AU31" s="20">
        <f>SuiviExec[[#This Row],[Situation méritée (CA Produit)]]-SuiviExec[[#This Row],[CA Année N-1 (2020)]]</f>
        <v>4070</v>
      </c>
      <c r="AV31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1945.2455848699201</v>
      </c>
      <c r="AW31" s="20">
        <f ca="1">SUM(SuiviExec[[#This Row],[Janvier 2022 CA]:[CA &gt; 2023]])</f>
        <v>0</v>
      </c>
      <c r="AX31" s="20">
        <f>SuiviExec[[#This Row],[Situation méritée (CA Produit)]]-SuiviExec[[#This Row],[CA Année N-1 (2020)]]-SuiviExec[[#This Row],[CA 2021 - Réalisé]]</f>
        <v>0</v>
      </c>
      <c r="AY31" s="23">
        <f>SuiviExec[[#This Row],[Avancement physique du chantier (%)]]*SuiviExec[[#This Row],[Budget MO (€)]]</f>
        <v>203</v>
      </c>
      <c r="AZ31" s="23">
        <f>SuiviExec[[#This Row],[Avancement physique du chantier (%)]]*SuiviExec[[#This Row],[Budget Matériel (€)]]</f>
        <v>1240</v>
      </c>
      <c r="BA31" s="23">
        <f>SuiviExec[[#This Row],[Budget ST (€)]]*SuiviExec[[#This Row],[Avancement physique du chantier (%)]]</f>
        <v>480</v>
      </c>
      <c r="BB31" s="20">
        <f>SUM(SuiviExec[[#This Row],[Charges 2021 MO (€)]:[Charges 2021 ST (€)]])</f>
        <v>1923</v>
      </c>
      <c r="BC31" s="31">
        <v>0</v>
      </c>
      <c r="BD31" s="42">
        <f>SuiviExec[[#This Row],[CA 2021 - Réalisé]]-SuiviExec[[#This Row],[Charges 2021 à date]]</f>
        <v>2147</v>
      </c>
      <c r="BE31" s="18">
        <f>IF(SuiviExec[[#This Row],[Avancement physique du chantier (%)]]&gt;0,IFERROR(SuiviExec[[#This Row],[Marge 2021 à date]]/SuiviExec[[#This Row],[CA 2021 - Réalisé]],""),"")</f>
        <v>0.52751842751842748</v>
      </c>
      <c r="BF31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1" s="29"/>
      <c r="BH31" s="33">
        <f>(SuiviExec[[#This Row],[Budget MO Etude (€)]]/Taux_Horaire_Etude+SuiviExec[[#This Row],[Budget MO Agent (heure)]])</f>
        <v>7</v>
      </c>
      <c r="BI31" s="34">
        <f ca="1">SuiviExec[[#This Row],[Estimation Budget MO (heures)]]-SUM(SuiviExec[[#This Row],[MO &lt; 2021]:[MO &gt; 2023]])</f>
        <v>0</v>
      </c>
      <c r="BJ31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1" s="19">
        <f t="shared" ca="1" si="8"/>
        <v>0</v>
      </c>
      <c r="BL31" s="19">
        <f t="shared" ca="1" si="8"/>
        <v>0</v>
      </c>
      <c r="BM31" s="19">
        <f t="shared" ca="1" si="8"/>
        <v>0</v>
      </c>
      <c r="BN31" s="19">
        <f t="shared" ca="1" si="8"/>
        <v>0</v>
      </c>
      <c r="BO31" s="19">
        <f t="shared" ca="1" si="8"/>
        <v>0</v>
      </c>
      <c r="BP31" s="19">
        <f t="shared" ca="1" si="8"/>
        <v>0</v>
      </c>
      <c r="BQ31" s="19">
        <f t="shared" ca="1" si="8"/>
        <v>0</v>
      </c>
      <c r="BR31" s="19">
        <f t="shared" ca="1" si="8"/>
        <v>0</v>
      </c>
      <c r="BS31" s="19">
        <f t="shared" ca="1" si="8"/>
        <v>0</v>
      </c>
      <c r="BT31" s="19">
        <f t="shared" ca="1" si="8"/>
        <v>7</v>
      </c>
      <c r="BU31" s="19">
        <f t="shared" ca="1" si="8"/>
        <v>0</v>
      </c>
      <c r="BV31" s="19">
        <f t="shared" ca="1" si="8"/>
        <v>0</v>
      </c>
      <c r="BW31" s="19">
        <f t="shared" ca="1" si="8"/>
        <v>0</v>
      </c>
      <c r="BX31" s="19">
        <f t="shared" ca="1" si="8"/>
        <v>0</v>
      </c>
      <c r="BY31" s="19">
        <f t="shared" ca="1" si="8"/>
        <v>0</v>
      </c>
      <c r="BZ31" s="19">
        <f t="shared" ca="1" si="8"/>
        <v>0</v>
      </c>
      <c r="CA31" s="19">
        <f t="shared" ca="1" si="6"/>
        <v>0</v>
      </c>
      <c r="CB31" s="19">
        <f t="shared" ca="1" si="6"/>
        <v>0</v>
      </c>
      <c r="CC31" s="19">
        <f t="shared" ca="1" si="6"/>
        <v>0</v>
      </c>
      <c r="CD31" s="19">
        <f t="shared" ca="1" si="6"/>
        <v>0</v>
      </c>
      <c r="CE31" s="19">
        <f t="shared" ca="1" si="6"/>
        <v>0</v>
      </c>
      <c r="CF31" s="19">
        <f t="shared" ca="1" si="6"/>
        <v>0</v>
      </c>
      <c r="CG31" s="19">
        <f t="shared" ca="1" si="6"/>
        <v>0</v>
      </c>
      <c r="CH31" s="19">
        <f t="shared" ca="1" si="6"/>
        <v>0</v>
      </c>
      <c r="CI31" s="19">
        <f t="shared" ca="1" si="6"/>
        <v>0</v>
      </c>
      <c r="CJ31" s="19">
        <f t="shared" ca="1" si="6"/>
        <v>0</v>
      </c>
      <c r="CK31" s="19">
        <f t="shared" ca="1" si="6"/>
        <v>0</v>
      </c>
      <c r="CL31" s="19">
        <f t="shared" ca="1" si="6"/>
        <v>0</v>
      </c>
      <c r="CM31" s="19">
        <f t="shared" ca="1" si="6"/>
        <v>0</v>
      </c>
      <c r="CN31" s="19">
        <f t="shared" ca="1" si="6"/>
        <v>0</v>
      </c>
      <c r="CO31" s="19">
        <f t="shared" ca="1" si="6"/>
        <v>0</v>
      </c>
      <c r="CP31" s="19">
        <f t="shared" ca="1" si="9"/>
        <v>0</v>
      </c>
      <c r="CQ31" s="19">
        <f t="shared" ca="1" si="9"/>
        <v>0</v>
      </c>
      <c r="CR31" s="19">
        <f t="shared" ca="1" si="9"/>
        <v>0</v>
      </c>
      <c r="CS31" s="19">
        <f t="shared" ca="1" si="9"/>
        <v>0</v>
      </c>
      <c r="CT31" s="19">
        <f t="shared" ca="1" si="9"/>
        <v>0</v>
      </c>
      <c r="CU31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1" s="35"/>
      <c r="CW31" s="36">
        <f ca="1">SuiviExec[[#This Row],[CA Vendu initial (€)]]-SUM(SuiviExec[[#This Row],[CA &lt; 2021]:[CA &gt; 2023]])</f>
        <v>0</v>
      </c>
      <c r="CX31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1" s="37">
        <f t="shared" ca="1" si="10"/>
        <v>0</v>
      </c>
      <c r="CZ31" s="37">
        <f t="shared" ca="1" si="10"/>
        <v>0</v>
      </c>
      <c r="DA31" s="37">
        <f t="shared" ca="1" si="10"/>
        <v>0</v>
      </c>
      <c r="DB31" s="37">
        <f t="shared" ca="1" si="10"/>
        <v>0</v>
      </c>
      <c r="DC31" s="37">
        <f t="shared" ca="1" si="10"/>
        <v>0</v>
      </c>
      <c r="DD31" s="37">
        <f t="shared" ca="1" si="10"/>
        <v>0</v>
      </c>
      <c r="DE31" s="37">
        <f t="shared" ca="1" si="10"/>
        <v>0</v>
      </c>
      <c r="DF31" s="37">
        <f t="shared" ca="1" si="10"/>
        <v>0</v>
      </c>
      <c r="DG31" s="37">
        <f t="shared" ca="1" si="10"/>
        <v>0</v>
      </c>
      <c r="DH31" s="37">
        <f t="shared" ca="1" si="10"/>
        <v>4070</v>
      </c>
      <c r="DI31" s="37">
        <f t="shared" ca="1" si="10"/>
        <v>0</v>
      </c>
      <c r="DJ31" s="37">
        <f t="shared" ca="1" si="10"/>
        <v>0</v>
      </c>
      <c r="DK31" s="37">
        <f t="shared" ca="1" si="10"/>
        <v>0</v>
      </c>
      <c r="DL31" s="37">
        <f t="shared" ca="1" si="10"/>
        <v>0</v>
      </c>
      <c r="DM31" s="37">
        <f t="shared" ca="1" si="10"/>
        <v>0</v>
      </c>
      <c r="DN31" s="37">
        <f t="shared" ca="1" si="10"/>
        <v>0</v>
      </c>
      <c r="DO31" s="37">
        <f t="shared" ca="1" si="7"/>
        <v>0</v>
      </c>
      <c r="DP31" s="37">
        <f t="shared" ca="1" si="7"/>
        <v>0</v>
      </c>
      <c r="DQ31" s="37">
        <f t="shared" ca="1" si="7"/>
        <v>0</v>
      </c>
      <c r="DR31" s="37">
        <f t="shared" ca="1" si="7"/>
        <v>0</v>
      </c>
      <c r="DS31" s="37">
        <f t="shared" ca="1" si="7"/>
        <v>0</v>
      </c>
      <c r="DT31" s="37">
        <f t="shared" ca="1" si="7"/>
        <v>0</v>
      </c>
      <c r="DU31" s="37">
        <f t="shared" ca="1" si="7"/>
        <v>0</v>
      </c>
      <c r="DV31" s="37">
        <f t="shared" ca="1" si="7"/>
        <v>0</v>
      </c>
      <c r="DW31" s="37">
        <f t="shared" ca="1" si="7"/>
        <v>0</v>
      </c>
      <c r="DX31" s="37">
        <f t="shared" ca="1" si="7"/>
        <v>0</v>
      </c>
      <c r="DY31" s="37">
        <f t="shared" ca="1" si="7"/>
        <v>0</v>
      </c>
      <c r="DZ31" s="37">
        <f t="shared" ca="1" si="7"/>
        <v>0</v>
      </c>
      <c r="EA31" s="37">
        <f t="shared" ca="1" si="7"/>
        <v>0</v>
      </c>
      <c r="EB31" s="37">
        <f t="shared" ca="1" si="7"/>
        <v>0</v>
      </c>
      <c r="EC31" s="37">
        <f t="shared" ca="1" si="7"/>
        <v>0</v>
      </c>
      <c r="ED31" s="37">
        <f t="shared" ca="1" si="11"/>
        <v>0</v>
      </c>
      <c r="EE31" s="37">
        <f t="shared" ca="1" si="11"/>
        <v>0</v>
      </c>
      <c r="EF31" s="37">
        <f t="shared" ca="1" si="11"/>
        <v>0</v>
      </c>
      <c r="EG31" s="37">
        <f t="shared" ca="1" si="11"/>
        <v>0</v>
      </c>
      <c r="EH31" s="37">
        <f t="shared" ca="1" si="11"/>
        <v>0</v>
      </c>
      <c r="EI31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1" s="38">
        <f>IFERROR(SuiviExec[[#This Row],[PAT CA (€)]]/SuiviExec[[#This Row],[CA Vendu initial (€)]],0)</f>
        <v>1</v>
      </c>
      <c r="EK31" s="39"/>
      <c r="EL31" s="40" t="str">
        <f>IF(OR(ISBLANK(SuiviExec[[#This Row],[Budget MO (€)]]),ISBLANK(SuiviExec[[#This Row],[Budget Matériel (€)]]),ISBLANK(SuiviExec[[#This Row],[Budget ST (€)]])),"Budget non détaillé","")</f>
        <v/>
      </c>
    </row>
    <row r="32" spans="1:142" ht="15.75" x14ac:dyDescent="0.25">
      <c r="A32" s="14" t="s">
        <v>255</v>
      </c>
      <c r="B32" s="14" t="s">
        <v>165</v>
      </c>
      <c r="C32" s="14" t="s">
        <v>144</v>
      </c>
      <c r="D32" s="14" t="s">
        <v>174</v>
      </c>
      <c r="E32" s="14" t="s">
        <v>174</v>
      </c>
      <c r="F32" s="14" t="s">
        <v>146</v>
      </c>
      <c r="G32" s="15">
        <v>44197</v>
      </c>
      <c r="H32" s="16" t="s">
        <v>256</v>
      </c>
      <c r="I32" s="16" t="s">
        <v>257</v>
      </c>
      <c r="J32" s="17">
        <v>1560</v>
      </c>
      <c r="K32" s="17">
        <v>401</v>
      </c>
      <c r="L32" s="18">
        <f>IFERROR(SuiviExec[[#This Row],[Marge Vendue Initiale (€)]]/SuiviExec[[#This Row],[CA Vendu initial (€)]],"")</f>
        <v>0.25705128205128203</v>
      </c>
      <c r="M32" s="17"/>
      <c r="N32" s="19">
        <v>1</v>
      </c>
      <c r="O32" s="20">
        <f>SuiviExec[[#This Row],[Budget MO Etude (€)]]+SuiviExec[[#This Row],[Budget MO Agent (heure)]]*Taux_Horaire_Agent</f>
        <v>29</v>
      </c>
      <c r="P32" s="17">
        <v>1130</v>
      </c>
      <c r="Q32" s="17">
        <v>0</v>
      </c>
      <c r="R32" s="21">
        <f>SUM(SuiviExec[[#This Row],[Budget MO (€)]:[Budget ST (€)]])</f>
        <v>1159</v>
      </c>
      <c r="S32" s="22">
        <v>44496</v>
      </c>
      <c r="T32" s="22">
        <v>44503</v>
      </c>
      <c r="U32" s="23"/>
      <c r="V32" s="24" cm="1">
        <f t="array" ref="V32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2" s="20">
        <f>IFERROR(SuiviExec[[#This Row],[Réalisé MO Etude (€)]]+SuiviExec[[#This Row],[Réalisé MO Agent (heure)]]*Taux_Horaire_Agent,0)</f>
        <v>0</v>
      </c>
      <c r="X3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2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2" s="21">
        <f>SUM(SuiviExec[[#This Row],[Réalisé MO (€)]:[Réalisé ST (€)]])</f>
        <v>0</v>
      </c>
      <c r="AA32" s="26">
        <v>1</v>
      </c>
      <c r="AB32" s="41"/>
      <c r="AC32" s="41">
        <v>1</v>
      </c>
      <c r="AD32" s="20">
        <f>IFERROR(SuiviExec[[#This Row],[PAT MO Etude (€)]]+SuiviExec[[#This Row],[PAT MO Agent (heure)]]*Taux_Horaire_Agent,0)</f>
        <v>29</v>
      </c>
      <c r="AE32" s="28">
        <f>SuiviExec[[#This Row],[Budget Matériel (€)]]</f>
        <v>1130</v>
      </c>
      <c r="AF32" s="28">
        <f>SuiviExec[[#This Row],[Budget ST (€)]]</f>
        <v>0</v>
      </c>
      <c r="AG32" s="21">
        <f>SUM(SuiviExec[[#This Row],[PAT MO (€)]:[PAT ST (€)]])</f>
        <v>1159</v>
      </c>
      <c r="AH32" s="28">
        <v>1560</v>
      </c>
      <c r="AI32" s="21">
        <f>SuiviExec[[#This Row],[PAT CA (€)]]-SuiviExec[[#This Row],[PAT Coût Total (€)]]</f>
        <v>401</v>
      </c>
      <c r="AJ32" s="18">
        <f>IFERROR(SuiviExec[[#This Row],[PAT Marge (€)]]/SuiviExec[[#This Row],[PAT CA (€)]],"Saisir le PAT")</f>
        <v>0.25705128205128203</v>
      </c>
      <c r="AK32" s="29"/>
      <c r="AL32" s="28"/>
      <c r="AM32" s="29"/>
      <c r="AN32" s="28"/>
      <c r="AO32" s="30">
        <f>SuiviExec[[#This Row],[CA Vendu initial (€)]]*SuiviExec[[#This Row],[Avancement physique du chantier (%)]]</f>
        <v>1560</v>
      </c>
      <c r="AP32" s="23">
        <v>1560</v>
      </c>
      <c r="AQ32" s="20">
        <f>IF(SuiviExec[[#This Row],[Avancement physique du chantier (%)]]=0,0,SuiviExec[[#This Row],[Situation méritée (CA Produit)]]-SuiviExec[[#This Row],[Montant Facturé (€)]])</f>
        <v>0</v>
      </c>
      <c r="AR32" s="23">
        <v>0</v>
      </c>
      <c r="AS32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2" s="23">
        <v>0</v>
      </c>
      <c r="AU32" s="20">
        <f>SuiviExec[[#This Row],[Situation méritée (CA Produit)]]-SuiviExec[[#This Row],[CA Année N-1 (2020)]]</f>
        <v>1560</v>
      </c>
      <c r="AV32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1.9614060243357017</v>
      </c>
      <c r="AW32" s="20">
        <f ca="1">SUM(SuiviExec[[#This Row],[Janvier 2022 CA]:[CA &gt; 2023]])</f>
        <v>0</v>
      </c>
      <c r="AX32" s="20">
        <f>SuiviExec[[#This Row],[Situation méritée (CA Produit)]]-SuiviExec[[#This Row],[CA Année N-1 (2020)]]-SuiviExec[[#This Row],[CA 2021 - Réalisé]]</f>
        <v>0</v>
      </c>
      <c r="AY32" s="23">
        <f>SuiviExec[[#This Row],[Avancement physique du chantier (%)]]*SuiviExec[[#This Row],[Budget MO (€)]]</f>
        <v>29</v>
      </c>
      <c r="AZ32" s="23">
        <f>SuiviExec[[#This Row],[Avancement physique du chantier (%)]]*SuiviExec[[#This Row],[Budget Matériel (€)]]</f>
        <v>1130</v>
      </c>
      <c r="BA32" s="23">
        <f>SuiviExec[[#This Row],[Budget ST (€)]]*SuiviExec[[#This Row],[Avancement physique du chantier (%)]]</f>
        <v>0</v>
      </c>
      <c r="BB32" s="20">
        <f>SUM(SuiviExec[[#This Row],[Charges 2021 MO (€)]:[Charges 2021 ST (€)]])</f>
        <v>1159</v>
      </c>
      <c r="BC32" s="31">
        <v>0</v>
      </c>
      <c r="BD32" s="42">
        <f>SuiviExec[[#This Row],[CA 2021 - Réalisé]]-SuiviExec[[#This Row],[Charges 2021 à date]]</f>
        <v>401</v>
      </c>
      <c r="BE32" s="18">
        <f>IF(SuiviExec[[#This Row],[Avancement physique du chantier (%)]]&gt;0,IFERROR(SuiviExec[[#This Row],[Marge 2021 à date]]/SuiviExec[[#This Row],[CA 2021 - Réalisé]],""),"")</f>
        <v>0.25705128205128203</v>
      </c>
      <c r="BF32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2" s="29"/>
      <c r="BH32" s="33">
        <f>(SuiviExec[[#This Row],[Budget MO Etude (€)]]/Taux_Horaire_Etude+SuiviExec[[#This Row],[Budget MO Agent (heure)]])</f>
        <v>1</v>
      </c>
      <c r="BI32" s="34">
        <f ca="1">SuiviExec[[#This Row],[Estimation Budget MO (heures)]]-SUM(SuiviExec[[#This Row],[MO &lt; 2021]:[MO &gt; 2023]])</f>
        <v>0</v>
      </c>
      <c r="BJ32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2" s="19">
        <f t="shared" ca="1" si="8"/>
        <v>0</v>
      </c>
      <c r="BL32" s="19">
        <f t="shared" ca="1" si="8"/>
        <v>0</v>
      </c>
      <c r="BM32" s="19">
        <f t="shared" ca="1" si="8"/>
        <v>0</v>
      </c>
      <c r="BN32" s="19">
        <f t="shared" ca="1" si="8"/>
        <v>0</v>
      </c>
      <c r="BO32" s="19">
        <f t="shared" ca="1" si="8"/>
        <v>0</v>
      </c>
      <c r="BP32" s="19">
        <f t="shared" ca="1" si="8"/>
        <v>0</v>
      </c>
      <c r="BQ32" s="19">
        <f t="shared" ca="1" si="8"/>
        <v>0</v>
      </c>
      <c r="BR32" s="19">
        <f t="shared" ca="1" si="8"/>
        <v>0</v>
      </c>
      <c r="BS32" s="19">
        <f t="shared" ca="1" si="8"/>
        <v>0</v>
      </c>
      <c r="BT32" s="19">
        <f t="shared" ca="1" si="8"/>
        <v>0.5</v>
      </c>
      <c r="BU32" s="19">
        <f t="shared" ca="1" si="8"/>
        <v>0.5</v>
      </c>
      <c r="BV32" s="19">
        <f t="shared" ca="1" si="8"/>
        <v>0</v>
      </c>
      <c r="BW32" s="19">
        <f t="shared" ca="1" si="8"/>
        <v>0</v>
      </c>
      <c r="BX32" s="19">
        <f t="shared" ca="1" si="8"/>
        <v>0</v>
      </c>
      <c r="BY32" s="19">
        <f t="shared" ca="1" si="8"/>
        <v>0</v>
      </c>
      <c r="BZ32" s="19">
        <f t="shared" ca="1" si="8"/>
        <v>0</v>
      </c>
      <c r="CA32" s="19">
        <f t="shared" ca="1" si="6"/>
        <v>0</v>
      </c>
      <c r="CB32" s="19">
        <f t="shared" ca="1" si="6"/>
        <v>0</v>
      </c>
      <c r="CC32" s="19">
        <f t="shared" ca="1" si="6"/>
        <v>0</v>
      </c>
      <c r="CD32" s="19">
        <f t="shared" ca="1" si="6"/>
        <v>0</v>
      </c>
      <c r="CE32" s="19">
        <f t="shared" ca="1" si="6"/>
        <v>0</v>
      </c>
      <c r="CF32" s="19">
        <f t="shared" ca="1" si="6"/>
        <v>0</v>
      </c>
      <c r="CG32" s="19">
        <f t="shared" ca="1" si="6"/>
        <v>0</v>
      </c>
      <c r="CH32" s="19">
        <f t="shared" ca="1" si="6"/>
        <v>0</v>
      </c>
      <c r="CI32" s="19">
        <f t="shared" ca="1" si="6"/>
        <v>0</v>
      </c>
      <c r="CJ32" s="19">
        <f t="shared" ca="1" si="6"/>
        <v>0</v>
      </c>
      <c r="CK32" s="19">
        <f t="shared" ca="1" si="6"/>
        <v>0</v>
      </c>
      <c r="CL32" s="19">
        <f t="shared" ca="1" si="6"/>
        <v>0</v>
      </c>
      <c r="CM32" s="19">
        <f t="shared" ca="1" si="6"/>
        <v>0</v>
      </c>
      <c r="CN32" s="19">
        <f t="shared" ca="1" si="6"/>
        <v>0</v>
      </c>
      <c r="CO32" s="19">
        <f t="shared" ca="1" si="6"/>
        <v>0</v>
      </c>
      <c r="CP32" s="19">
        <f t="shared" ca="1" si="9"/>
        <v>0</v>
      </c>
      <c r="CQ32" s="19">
        <f t="shared" ca="1" si="9"/>
        <v>0</v>
      </c>
      <c r="CR32" s="19">
        <f t="shared" ca="1" si="9"/>
        <v>0</v>
      </c>
      <c r="CS32" s="19">
        <f t="shared" ca="1" si="9"/>
        <v>0</v>
      </c>
      <c r="CT32" s="19">
        <f t="shared" ca="1" si="9"/>
        <v>0</v>
      </c>
      <c r="CU32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2" s="35"/>
      <c r="CW32" s="36">
        <f ca="1">SuiviExec[[#This Row],[CA Vendu initial (€)]]-SUM(SuiviExec[[#This Row],[CA &lt; 2021]:[CA &gt; 2023]])</f>
        <v>0</v>
      </c>
      <c r="CX32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2" s="37">
        <f t="shared" ca="1" si="10"/>
        <v>0</v>
      </c>
      <c r="CZ32" s="37">
        <f t="shared" ca="1" si="10"/>
        <v>0</v>
      </c>
      <c r="DA32" s="37">
        <f t="shared" ca="1" si="10"/>
        <v>0</v>
      </c>
      <c r="DB32" s="37">
        <f t="shared" ca="1" si="10"/>
        <v>0</v>
      </c>
      <c r="DC32" s="37">
        <f t="shared" ca="1" si="10"/>
        <v>0</v>
      </c>
      <c r="DD32" s="37">
        <f t="shared" ca="1" si="10"/>
        <v>0</v>
      </c>
      <c r="DE32" s="37">
        <f t="shared" ca="1" si="10"/>
        <v>0</v>
      </c>
      <c r="DF32" s="37">
        <f t="shared" ca="1" si="10"/>
        <v>0</v>
      </c>
      <c r="DG32" s="37">
        <f t="shared" ca="1" si="10"/>
        <v>0</v>
      </c>
      <c r="DH32" s="37">
        <f t="shared" ca="1" si="10"/>
        <v>780</v>
      </c>
      <c r="DI32" s="37">
        <f t="shared" ca="1" si="10"/>
        <v>780</v>
      </c>
      <c r="DJ32" s="37">
        <f t="shared" ca="1" si="10"/>
        <v>0</v>
      </c>
      <c r="DK32" s="37">
        <f t="shared" ca="1" si="10"/>
        <v>0</v>
      </c>
      <c r="DL32" s="37">
        <f t="shared" ca="1" si="10"/>
        <v>0</v>
      </c>
      <c r="DM32" s="37">
        <f t="shared" ca="1" si="10"/>
        <v>0</v>
      </c>
      <c r="DN32" s="37">
        <f t="shared" ca="1" si="10"/>
        <v>0</v>
      </c>
      <c r="DO32" s="37">
        <f t="shared" ca="1" si="7"/>
        <v>0</v>
      </c>
      <c r="DP32" s="37">
        <f t="shared" ca="1" si="7"/>
        <v>0</v>
      </c>
      <c r="DQ32" s="37">
        <f t="shared" ca="1" si="7"/>
        <v>0</v>
      </c>
      <c r="DR32" s="37">
        <f t="shared" ca="1" si="7"/>
        <v>0</v>
      </c>
      <c r="DS32" s="37">
        <f t="shared" ca="1" si="7"/>
        <v>0</v>
      </c>
      <c r="DT32" s="37">
        <f t="shared" ca="1" si="7"/>
        <v>0</v>
      </c>
      <c r="DU32" s="37">
        <f t="shared" ca="1" si="7"/>
        <v>0</v>
      </c>
      <c r="DV32" s="37">
        <f t="shared" ca="1" si="7"/>
        <v>0</v>
      </c>
      <c r="DW32" s="37">
        <f t="shared" ca="1" si="7"/>
        <v>0</v>
      </c>
      <c r="DX32" s="37">
        <f t="shared" ca="1" si="7"/>
        <v>0</v>
      </c>
      <c r="DY32" s="37">
        <f t="shared" ca="1" si="7"/>
        <v>0</v>
      </c>
      <c r="DZ32" s="37">
        <f t="shared" ca="1" si="7"/>
        <v>0</v>
      </c>
      <c r="EA32" s="37">
        <f t="shared" ca="1" si="7"/>
        <v>0</v>
      </c>
      <c r="EB32" s="37">
        <f t="shared" ca="1" si="7"/>
        <v>0</v>
      </c>
      <c r="EC32" s="37">
        <f t="shared" ca="1" si="7"/>
        <v>0</v>
      </c>
      <c r="ED32" s="37">
        <f t="shared" ca="1" si="11"/>
        <v>0</v>
      </c>
      <c r="EE32" s="37">
        <f t="shared" ca="1" si="11"/>
        <v>0</v>
      </c>
      <c r="EF32" s="37">
        <f t="shared" ca="1" si="11"/>
        <v>0</v>
      </c>
      <c r="EG32" s="37">
        <f t="shared" ca="1" si="11"/>
        <v>0</v>
      </c>
      <c r="EH32" s="37">
        <f t="shared" ca="1" si="11"/>
        <v>0</v>
      </c>
      <c r="EI32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2" s="38">
        <f>IFERROR(SuiviExec[[#This Row],[PAT CA (€)]]/SuiviExec[[#This Row],[CA Vendu initial (€)]],0)</f>
        <v>1</v>
      </c>
      <c r="EK32" s="39"/>
      <c r="EL32" s="40" t="str">
        <f>IF(OR(ISBLANK(SuiviExec[[#This Row],[Budget MO (€)]]),ISBLANK(SuiviExec[[#This Row],[Budget Matériel (€)]]),ISBLANK(SuiviExec[[#This Row],[Budget ST (€)]])),"Budget non détaillé","")</f>
        <v/>
      </c>
    </row>
    <row r="33" spans="1:142" ht="15.75" x14ac:dyDescent="0.25">
      <c r="A33" s="14" t="s">
        <v>258</v>
      </c>
      <c r="B33" s="14" t="s">
        <v>165</v>
      </c>
      <c r="C33" s="14" t="s">
        <v>144</v>
      </c>
      <c r="D33" s="14" t="s">
        <v>144</v>
      </c>
      <c r="E33" s="14" t="s">
        <v>144</v>
      </c>
      <c r="F33" s="14" t="s">
        <v>146</v>
      </c>
      <c r="G33" s="15">
        <v>44197</v>
      </c>
      <c r="H33" s="16" t="s">
        <v>256</v>
      </c>
      <c r="I33" s="16" t="s">
        <v>259</v>
      </c>
      <c r="J33" s="17">
        <v>1555</v>
      </c>
      <c r="K33" s="17">
        <v>406</v>
      </c>
      <c r="L33" s="18">
        <f>IFERROR(SuiviExec[[#This Row],[Marge Vendue Initiale (€)]]/SuiviExec[[#This Row],[CA Vendu initial (€)]],"")</f>
        <v>0.26109324758842445</v>
      </c>
      <c r="M33" s="17"/>
      <c r="N33" s="19">
        <v>1</v>
      </c>
      <c r="O33" s="20">
        <f>SuiviExec[[#This Row],[Budget MO Etude (€)]]+SuiviExec[[#This Row],[Budget MO Agent (heure)]]*Taux_Horaire_Agent</f>
        <v>29</v>
      </c>
      <c r="P33" s="17">
        <v>1120</v>
      </c>
      <c r="Q33" s="17">
        <v>0</v>
      </c>
      <c r="R33" s="21">
        <f>SUM(SuiviExec[[#This Row],[Budget MO (€)]:[Budget ST (€)]])</f>
        <v>1149</v>
      </c>
      <c r="S33" s="22">
        <v>44501</v>
      </c>
      <c r="T33" s="22">
        <v>44508</v>
      </c>
      <c r="U33" s="23"/>
      <c r="V33" s="24" cm="1">
        <f t="array" ref="V33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3" s="20">
        <f>IFERROR(SuiviExec[[#This Row],[Réalisé MO Etude (€)]]+SuiviExec[[#This Row],[Réalisé MO Agent (heure)]]*Taux_Horaire_Agent,0)</f>
        <v>0</v>
      </c>
      <c r="X3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3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3" s="21">
        <f>SUM(SuiviExec[[#This Row],[Réalisé MO (€)]:[Réalisé ST (€)]])</f>
        <v>0</v>
      </c>
      <c r="AA33" s="26">
        <v>1</v>
      </c>
      <c r="AB33" s="41"/>
      <c r="AC33" s="41">
        <v>1</v>
      </c>
      <c r="AD33" s="20">
        <f>IFERROR(SuiviExec[[#This Row],[PAT MO Etude (€)]]+SuiviExec[[#This Row],[PAT MO Agent (heure)]]*Taux_Horaire_Agent,0)</f>
        <v>29</v>
      </c>
      <c r="AE33" s="28">
        <f>SuiviExec[[#This Row],[Budget Matériel (€)]]</f>
        <v>1120</v>
      </c>
      <c r="AF33" s="28">
        <f>SuiviExec[[#This Row],[Budget ST (€)]]</f>
        <v>0</v>
      </c>
      <c r="AG33" s="21">
        <f>SUM(SuiviExec[[#This Row],[PAT MO (€)]:[PAT ST (€)]])</f>
        <v>1149</v>
      </c>
      <c r="AH33" s="28">
        <v>1555</v>
      </c>
      <c r="AI33" s="21">
        <f>SuiviExec[[#This Row],[PAT CA (€)]]-SuiviExec[[#This Row],[PAT Coût Total (€)]]</f>
        <v>406</v>
      </c>
      <c r="AJ33" s="18">
        <f>IFERROR(SuiviExec[[#This Row],[PAT Marge (€)]]/SuiviExec[[#This Row],[PAT CA (€)]],"Saisir le PAT")</f>
        <v>0.26109324758842445</v>
      </c>
      <c r="AK33" s="29"/>
      <c r="AL33" s="28"/>
      <c r="AM33" s="29"/>
      <c r="AN33" s="28"/>
      <c r="AO33" s="30">
        <f>SuiviExec[[#This Row],[CA Vendu initial (€)]]*SuiviExec[[#This Row],[Avancement physique du chantier (%)]]</f>
        <v>1555</v>
      </c>
      <c r="AP33" s="23">
        <v>1555</v>
      </c>
      <c r="AQ33" s="20">
        <f>IF(SuiviExec[[#This Row],[Avancement physique du chantier (%)]]=0,0,SuiviExec[[#This Row],[Situation méritée (CA Produit)]]-SuiviExec[[#This Row],[Montant Facturé (€)]])</f>
        <v>0</v>
      </c>
      <c r="AR33" s="23">
        <v>0</v>
      </c>
      <c r="AS33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3" s="23">
        <v>0</v>
      </c>
      <c r="AU33" s="20">
        <f>SuiviExec[[#This Row],[Situation méritée (CA Produit)]]-SuiviExec[[#This Row],[CA Année N-1 (2020)]]</f>
        <v>1555</v>
      </c>
      <c r="AV33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10.471970767791618</v>
      </c>
      <c r="AW33" s="20">
        <f ca="1">SUM(SuiviExec[[#This Row],[Janvier 2022 CA]:[CA &gt; 2023]])</f>
        <v>0</v>
      </c>
      <c r="AX33" s="20">
        <f>SuiviExec[[#This Row],[Situation méritée (CA Produit)]]-SuiviExec[[#This Row],[CA Année N-1 (2020)]]-SuiviExec[[#This Row],[CA 2021 - Réalisé]]</f>
        <v>0</v>
      </c>
      <c r="AY33" s="23">
        <f>SuiviExec[[#This Row],[Avancement physique du chantier (%)]]*SuiviExec[[#This Row],[Budget MO (€)]]</f>
        <v>29</v>
      </c>
      <c r="AZ33" s="23">
        <f>SuiviExec[[#This Row],[Avancement physique du chantier (%)]]*SuiviExec[[#This Row],[Budget Matériel (€)]]</f>
        <v>1120</v>
      </c>
      <c r="BA33" s="23">
        <f>SuiviExec[[#This Row],[Budget ST (€)]]*SuiviExec[[#This Row],[Avancement physique du chantier (%)]]</f>
        <v>0</v>
      </c>
      <c r="BB33" s="20">
        <f>SUM(SuiviExec[[#This Row],[Charges 2021 MO (€)]:[Charges 2021 ST (€)]])</f>
        <v>1149</v>
      </c>
      <c r="BC33" s="31">
        <v>0</v>
      </c>
      <c r="BD33" s="42">
        <f>SuiviExec[[#This Row],[CA 2021 - Réalisé]]-SuiviExec[[#This Row],[Charges 2021 à date]]</f>
        <v>406</v>
      </c>
      <c r="BE33" s="18">
        <f>IF(SuiviExec[[#This Row],[Avancement physique du chantier (%)]]&gt;0,IFERROR(SuiviExec[[#This Row],[Marge 2021 à date]]/SuiviExec[[#This Row],[CA 2021 - Réalisé]],""),"")</f>
        <v>0.26109324758842445</v>
      </c>
      <c r="BF33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3" s="29"/>
      <c r="BH33" s="33">
        <f>(SuiviExec[[#This Row],[Budget MO Etude (€)]]/Taux_Horaire_Etude+SuiviExec[[#This Row],[Budget MO Agent (heure)]])</f>
        <v>1</v>
      </c>
      <c r="BI33" s="34">
        <f ca="1">SuiviExec[[#This Row],[Estimation Budget MO (heures)]]-SUM(SuiviExec[[#This Row],[MO &lt; 2021]:[MO &gt; 2023]])</f>
        <v>0</v>
      </c>
      <c r="BJ33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3" s="19">
        <f t="shared" ca="1" si="8"/>
        <v>0</v>
      </c>
      <c r="BL33" s="19">
        <f t="shared" ca="1" si="8"/>
        <v>0</v>
      </c>
      <c r="BM33" s="19">
        <f t="shared" ca="1" si="8"/>
        <v>0</v>
      </c>
      <c r="BN33" s="19">
        <f t="shared" ca="1" si="8"/>
        <v>0</v>
      </c>
      <c r="BO33" s="19">
        <f t="shared" ca="1" si="8"/>
        <v>0</v>
      </c>
      <c r="BP33" s="19">
        <f t="shared" ca="1" si="8"/>
        <v>0</v>
      </c>
      <c r="BQ33" s="19">
        <f t="shared" ca="1" si="8"/>
        <v>0</v>
      </c>
      <c r="BR33" s="19">
        <f t="shared" ca="1" si="8"/>
        <v>0</v>
      </c>
      <c r="BS33" s="19">
        <f t="shared" ca="1" si="8"/>
        <v>0</v>
      </c>
      <c r="BT33" s="19">
        <f t="shared" ca="1" si="8"/>
        <v>0</v>
      </c>
      <c r="BU33" s="19">
        <f t="shared" ca="1" si="8"/>
        <v>1</v>
      </c>
      <c r="BV33" s="19">
        <f t="shared" ca="1" si="8"/>
        <v>0</v>
      </c>
      <c r="BW33" s="19">
        <f t="shared" ca="1" si="8"/>
        <v>0</v>
      </c>
      <c r="BX33" s="19">
        <f t="shared" ca="1" si="8"/>
        <v>0</v>
      </c>
      <c r="BY33" s="19">
        <f t="shared" ca="1" si="8"/>
        <v>0</v>
      </c>
      <c r="BZ33" s="19">
        <f t="shared" ref="BZ33:CO35" ca="1" si="12">IF(AND(OR(AND(MONTH($T33)&lt;=MONTH(BZ$3),YEAR($T33)=YEAR(BZ$3)),YEAR($T33)&lt;YEAR(BZ$3)),OR(AND(MONTH($U33)&gt;=MONTH(BZ$3),YEAR($U33)=YEAR(BZ$3)),,YEAR($U33)&gt;YEAR(BZ$3))),$BI33/(
1+MONTH($U33)-MONTH($T33)+12*(YEAR($U33)-YEAR($T33))),0)</f>
        <v>0</v>
      </c>
      <c r="CA33" s="19">
        <f t="shared" ca="1" si="12"/>
        <v>0</v>
      </c>
      <c r="CB33" s="19">
        <f t="shared" ca="1" si="12"/>
        <v>0</v>
      </c>
      <c r="CC33" s="19">
        <f t="shared" ca="1" si="12"/>
        <v>0</v>
      </c>
      <c r="CD33" s="19">
        <f t="shared" ca="1" si="12"/>
        <v>0</v>
      </c>
      <c r="CE33" s="19">
        <f t="shared" ca="1" si="12"/>
        <v>0</v>
      </c>
      <c r="CF33" s="19">
        <f t="shared" ca="1" si="12"/>
        <v>0</v>
      </c>
      <c r="CG33" s="19">
        <f t="shared" ca="1" si="12"/>
        <v>0</v>
      </c>
      <c r="CH33" s="19">
        <f t="shared" ca="1" si="12"/>
        <v>0</v>
      </c>
      <c r="CI33" s="19">
        <f t="shared" ca="1" si="12"/>
        <v>0</v>
      </c>
      <c r="CJ33" s="19">
        <f t="shared" ca="1" si="12"/>
        <v>0</v>
      </c>
      <c r="CK33" s="19">
        <f t="shared" ca="1" si="12"/>
        <v>0</v>
      </c>
      <c r="CL33" s="19">
        <f t="shared" ca="1" si="12"/>
        <v>0</v>
      </c>
      <c r="CM33" s="19">
        <f t="shared" ca="1" si="12"/>
        <v>0</v>
      </c>
      <c r="CN33" s="19">
        <f t="shared" ca="1" si="12"/>
        <v>0</v>
      </c>
      <c r="CO33" s="19">
        <f t="shared" ca="1" si="12"/>
        <v>0</v>
      </c>
      <c r="CP33" s="19">
        <f t="shared" ca="1" si="9"/>
        <v>0</v>
      </c>
      <c r="CQ33" s="19">
        <f t="shared" ca="1" si="9"/>
        <v>0</v>
      </c>
      <c r="CR33" s="19">
        <f t="shared" ca="1" si="9"/>
        <v>0</v>
      </c>
      <c r="CS33" s="19">
        <f t="shared" ca="1" si="9"/>
        <v>0</v>
      </c>
      <c r="CT33" s="19">
        <f t="shared" ca="1" si="9"/>
        <v>0</v>
      </c>
      <c r="CU33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3" s="35"/>
      <c r="CW33" s="36">
        <f ca="1">SuiviExec[[#This Row],[CA Vendu initial (€)]]-SUM(SuiviExec[[#This Row],[CA &lt; 2021]:[CA &gt; 2023]])</f>
        <v>0</v>
      </c>
      <c r="CX33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3" s="37">
        <f t="shared" ca="1" si="10"/>
        <v>0</v>
      </c>
      <c r="CZ33" s="37">
        <f t="shared" ca="1" si="10"/>
        <v>0</v>
      </c>
      <c r="DA33" s="37">
        <f t="shared" ca="1" si="10"/>
        <v>0</v>
      </c>
      <c r="DB33" s="37">
        <f t="shared" ca="1" si="10"/>
        <v>0</v>
      </c>
      <c r="DC33" s="37">
        <f t="shared" ca="1" si="10"/>
        <v>0</v>
      </c>
      <c r="DD33" s="37">
        <f t="shared" ca="1" si="10"/>
        <v>0</v>
      </c>
      <c r="DE33" s="37">
        <f t="shared" ca="1" si="10"/>
        <v>0</v>
      </c>
      <c r="DF33" s="37">
        <f t="shared" ca="1" si="10"/>
        <v>0</v>
      </c>
      <c r="DG33" s="37">
        <f t="shared" ca="1" si="10"/>
        <v>0</v>
      </c>
      <c r="DH33" s="37">
        <f t="shared" ca="1" si="10"/>
        <v>0</v>
      </c>
      <c r="DI33" s="37">
        <f t="shared" ca="1" si="10"/>
        <v>1555</v>
      </c>
      <c r="DJ33" s="37">
        <f t="shared" ca="1" si="10"/>
        <v>0</v>
      </c>
      <c r="DK33" s="37">
        <f t="shared" ca="1" si="10"/>
        <v>0</v>
      </c>
      <c r="DL33" s="37">
        <f t="shared" ca="1" si="10"/>
        <v>0</v>
      </c>
      <c r="DM33" s="37">
        <f t="shared" ca="1" si="10"/>
        <v>0</v>
      </c>
      <c r="DN33" s="37">
        <f t="shared" ref="DN33:EC35" ca="1" si="13">IF(AND(OR(AND(MONTH($T33)&lt;=MONTH(DN$3),YEAR($T33)=YEAR(DN$3)),YEAR($T33)&lt;YEAR(DN$3)),OR(AND(MONTH($U33)&gt;=MONTH(DN$3),YEAR($U33)=YEAR(DN$3)),,YEAR($U33)&gt;YEAR(DN$3))),
$K33/(1+MONTH($U33)-MONTH($T33)+12*(YEAR($U33)-YEAR($T33))),0)</f>
        <v>0</v>
      </c>
      <c r="DO33" s="37">
        <f t="shared" ca="1" si="13"/>
        <v>0</v>
      </c>
      <c r="DP33" s="37">
        <f t="shared" ca="1" si="13"/>
        <v>0</v>
      </c>
      <c r="DQ33" s="37">
        <f t="shared" ca="1" si="13"/>
        <v>0</v>
      </c>
      <c r="DR33" s="37">
        <f t="shared" ca="1" si="13"/>
        <v>0</v>
      </c>
      <c r="DS33" s="37">
        <f t="shared" ca="1" si="13"/>
        <v>0</v>
      </c>
      <c r="DT33" s="37">
        <f t="shared" ca="1" si="13"/>
        <v>0</v>
      </c>
      <c r="DU33" s="37">
        <f t="shared" ca="1" si="13"/>
        <v>0</v>
      </c>
      <c r="DV33" s="37">
        <f t="shared" ca="1" si="13"/>
        <v>0</v>
      </c>
      <c r="DW33" s="37">
        <f t="shared" ca="1" si="13"/>
        <v>0</v>
      </c>
      <c r="DX33" s="37">
        <f t="shared" ca="1" si="13"/>
        <v>0</v>
      </c>
      <c r="DY33" s="37">
        <f t="shared" ca="1" si="13"/>
        <v>0</v>
      </c>
      <c r="DZ33" s="37">
        <f t="shared" ca="1" si="13"/>
        <v>0</v>
      </c>
      <c r="EA33" s="37">
        <f t="shared" ca="1" si="13"/>
        <v>0</v>
      </c>
      <c r="EB33" s="37">
        <f t="shared" ca="1" si="13"/>
        <v>0</v>
      </c>
      <c r="EC33" s="37">
        <f t="shared" ca="1" si="13"/>
        <v>0</v>
      </c>
      <c r="ED33" s="37">
        <f t="shared" ca="1" si="11"/>
        <v>0</v>
      </c>
      <c r="EE33" s="37">
        <f t="shared" ca="1" si="11"/>
        <v>0</v>
      </c>
      <c r="EF33" s="37">
        <f t="shared" ca="1" si="11"/>
        <v>0</v>
      </c>
      <c r="EG33" s="37">
        <f t="shared" ca="1" si="11"/>
        <v>0</v>
      </c>
      <c r="EH33" s="37">
        <f t="shared" ca="1" si="11"/>
        <v>0</v>
      </c>
      <c r="EI33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3" s="38">
        <f>IFERROR(SuiviExec[[#This Row],[PAT CA (€)]]/SuiviExec[[#This Row],[CA Vendu initial (€)]],0)</f>
        <v>1</v>
      </c>
      <c r="EK33" s="39"/>
      <c r="EL33" s="40" t="str">
        <f>IF(OR(ISBLANK(SuiviExec[[#This Row],[Budget MO (€)]]),ISBLANK(SuiviExec[[#This Row],[Budget Matériel (€)]]),ISBLANK(SuiviExec[[#This Row],[Budget ST (€)]])),"Budget non détaillé","")</f>
        <v/>
      </c>
    </row>
    <row r="34" spans="1:142" ht="15.75" x14ac:dyDescent="0.25">
      <c r="A34" s="14" t="s">
        <v>260</v>
      </c>
      <c r="B34" s="14" t="s">
        <v>165</v>
      </c>
      <c r="C34" s="14" t="s">
        <v>144</v>
      </c>
      <c r="D34" s="14" t="s">
        <v>144</v>
      </c>
      <c r="E34" s="14" t="s">
        <v>144</v>
      </c>
      <c r="F34" s="14" t="s">
        <v>146</v>
      </c>
      <c r="G34" s="15">
        <v>44197</v>
      </c>
      <c r="H34" s="16" t="s">
        <v>256</v>
      </c>
      <c r="I34" s="16" t="s">
        <v>261</v>
      </c>
      <c r="J34" s="17">
        <v>1134</v>
      </c>
      <c r="K34" s="17">
        <v>305</v>
      </c>
      <c r="L34" s="18">
        <f>IFERROR(SuiviExec[[#This Row],[Marge Vendue Initiale (€)]]/SuiviExec[[#This Row],[CA Vendu initial (€)]],"")</f>
        <v>0.26895943562610231</v>
      </c>
      <c r="M34" s="17"/>
      <c r="N34" s="19">
        <v>1</v>
      </c>
      <c r="O34" s="20">
        <f>SuiviExec[[#This Row],[Budget MO Etude (€)]]+SuiviExec[[#This Row],[Budget MO Agent (heure)]]*Taux_Horaire_Agent</f>
        <v>29</v>
      </c>
      <c r="P34" s="17">
        <v>800</v>
      </c>
      <c r="Q34" s="17">
        <v>0</v>
      </c>
      <c r="R34" s="21">
        <f>SUM(SuiviExec[[#This Row],[Budget MO (€)]:[Budget ST (€)]])</f>
        <v>829</v>
      </c>
      <c r="S34" s="22">
        <v>44501</v>
      </c>
      <c r="T34" s="22">
        <v>44508</v>
      </c>
      <c r="U34" s="23"/>
      <c r="V34" s="24" cm="1">
        <f t="array" ref="V34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4" s="20">
        <f>IFERROR(SuiviExec[[#This Row],[Réalisé MO Etude (€)]]+SuiviExec[[#This Row],[Réalisé MO Agent (heure)]]*Taux_Horaire_Agent,0)</f>
        <v>0</v>
      </c>
      <c r="X3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4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4" s="21">
        <f>SUM(SuiviExec[[#This Row],[Réalisé MO (€)]:[Réalisé ST (€)]])</f>
        <v>0</v>
      </c>
      <c r="AA34" s="26">
        <v>1</v>
      </c>
      <c r="AB34" s="41"/>
      <c r="AC34" s="41">
        <v>1</v>
      </c>
      <c r="AD34" s="20">
        <f>IFERROR(SuiviExec[[#This Row],[PAT MO Etude (€)]]+SuiviExec[[#This Row],[PAT MO Agent (heure)]]*Taux_Horaire_Agent,0)</f>
        <v>29</v>
      </c>
      <c r="AE34" s="28">
        <f>SuiviExec[[#This Row],[Budget Matériel (€)]]</f>
        <v>800</v>
      </c>
      <c r="AF34" s="28">
        <f>SuiviExec[[#This Row],[Budget ST (€)]]</f>
        <v>0</v>
      </c>
      <c r="AG34" s="21">
        <f>SUM(SuiviExec[[#This Row],[PAT MO (€)]:[PAT ST (€)]])</f>
        <v>829</v>
      </c>
      <c r="AH34" s="28">
        <v>1134</v>
      </c>
      <c r="AI34" s="21">
        <f>SuiviExec[[#This Row],[PAT CA (€)]]-SuiviExec[[#This Row],[PAT Coût Total (€)]]</f>
        <v>305</v>
      </c>
      <c r="AJ34" s="18">
        <f>IFERROR(SuiviExec[[#This Row],[PAT Marge (€)]]/SuiviExec[[#This Row],[PAT CA (€)]],"Saisir le PAT")</f>
        <v>0.26895943562610231</v>
      </c>
      <c r="AK34" s="29"/>
      <c r="AL34" s="28"/>
      <c r="AM34" s="29"/>
      <c r="AN34" s="28"/>
      <c r="AO34" s="30">
        <f>SuiviExec[[#This Row],[CA Vendu initial (€)]]*SuiviExec[[#This Row],[Avancement physique du chantier (%)]]</f>
        <v>1134</v>
      </c>
      <c r="AP34" s="23">
        <v>1134</v>
      </c>
      <c r="AQ34" s="20">
        <f>IF(SuiviExec[[#This Row],[Avancement physique du chantier (%)]]=0,0,SuiviExec[[#This Row],[Situation méritée (CA Produit)]]-SuiviExec[[#This Row],[Montant Facturé (€)]])</f>
        <v>0</v>
      </c>
      <c r="AR34" s="23">
        <v>0</v>
      </c>
      <c r="AS34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4" s="23">
        <v>0</v>
      </c>
      <c r="AU34" s="20">
        <f>SuiviExec[[#This Row],[Situation méritée (CA Produit)]]-SuiviExec[[#This Row],[CA Année N-1 (2020)]]</f>
        <v>1134</v>
      </c>
      <c r="AV34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19.921105180297445</v>
      </c>
      <c r="AW34" s="20">
        <f ca="1">SUM(SuiviExec[[#This Row],[Janvier 2022 CA]:[CA &gt; 2023]])</f>
        <v>0</v>
      </c>
      <c r="AX34" s="20">
        <f>SuiviExec[[#This Row],[Situation méritée (CA Produit)]]-SuiviExec[[#This Row],[CA Année N-1 (2020)]]-SuiviExec[[#This Row],[CA 2021 - Réalisé]]</f>
        <v>0</v>
      </c>
      <c r="AY34" s="23">
        <f>SuiviExec[[#This Row],[Avancement physique du chantier (%)]]*SuiviExec[[#This Row],[Budget MO (€)]]</f>
        <v>29</v>
      </c>
      <c r="AZ34" s="23">
        <f>SuiviExec[[#This Row],[Avancement physique du chantier (%)]]*SuiviExec[[#This Row],[Budget Matériel (€)]]</f>
        <v>800</v>
      </c>
      <c r="BA34" s="23">
        <f>SuiviExec[[#This Row],[Budget ST (€)]]*SuiviExec[[#This Row],[Avancement physique du chantier (%)]]</f>
        <v>0</v>
      </c>
      <c r="BB34" s="20">
        <f>SUM(SuiviExec[[#This Row],[Charges 2021 MO (€)]:[Charges 2021 ST (€)]])</f>
        <v>829</v>
      </c>
      <c r="BC34" s="31">
        <v>0</v>
      </c>
      <c r="BD34" s="42">
        <f>SuiviExec[[#This Row],[CA 2021 - Réalisé]]-SuiviExec[[#This Row],[Charges 2021 à date]]</f>
        <v>305</v>
      </c>
      <c r="BE34" s="18">
        <f>IF(SuiviExec[[#This Row],[Avancement physique du chantier (%)]]&gt;0,IFERROR(SuiviExec[[#This Row],[Marge 2021 à date]]/SuiviExec[[#This Row],[CA 2021 - Réalisé]],""),"")</f>
        <v>0.26895943562610231</v>
      </c>
      <c r="BF34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4" s="29"/>
      <c r="BH34" s="33">
        <f>(SuiviExec[[#This Row],[Budget MO Etude (€)]]/Taux_Horaire_Etude+SuiviExec[[#This Row],[Budget MO Agent (heure)]])</f>
        <v>1</v>
      </c>
      <c r="BI34" s="34">
        <f ca="1">SuiviExec[[#This Row],[Estimation Budget MO (heures)]]-SUM(SuiviExec[[#This Row],[MO &lt; 2021]:[MO &gt; 2023]])</f>
        <v>0</v>
      </c>
      <c r="BJ34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BK34" s="19">
        <f t="shared" ref="BK34:BZ35" ca="1" si="14">IF(AND(OR(AND(MONTH($T34)&lt;=MONTH(BK$3),YEAR($T34)=YEAR(BK$3)),YEAR($T34)&lt;YEAR(BK$3)),OR(AND(MONTH($U34)&gt;=MONTH(BK$3),YEAR($U34)=YEAR(BK$3)),,YEAR($U34)&gt;YEAR(BK$3))),$BI34/(
1+MONTH($U34)-MONTH($T34)+12*(YEAR($U34)-YEAR($T34))),0)</f>
        <v>0</v>
      </c>
      <c r="BL34" s="19">
        <f t="shared" ca="1" si="14"/>
        <v>0</v>
      </c>
      <c r="BM34" s="19">
        <f t="shared" ca="1" si="14"/>
        <v>0</v>
      </c>
      <c r="BN34" s="19">
        <f t="shared" ca="1" si="14"/>
        <v>0</v>
      </c>
      <c r="BO34" s="19">
        <f t="shared" ca="1" si="14"/>
        <v>0</v>
      </c>
      <c r="BP34" s="19">
        <f t="shared" ca="1" si="14"/>
        <v>0</v>
      </c>
      <c r="BQ34" s="19">
        <f t="shared" ca="1" si="14"/>
        <v>0</v>
      </c>
      <c r="BR34" s="19">
        <f t="shared" ca="1" si="14"/>
        <v>0</v>
      </c>
      <c r="BS34" s="19">
        <f t="shared" ca="1" si="14"/>
        <v>0</v>
      </c>
      <c r="BT34" s="19">
        <f t="shared" ca="1" si="14"/>
        <v>0</v>
      </c>
      <c r="BU34" s="19">
        <f t="shared" ca="1" si="14"/>
        <v>1</v>
      </c>
      <c r="BV34" s="19">
        <f t="shared" ca="1" si="14"/>
        <v>0</v>
      </c>
      <c r="BW34" s="19">
        <f t="shared" ca="1" si="14"/>
        <v>0</v>
      </c>
      <c r="BX34" s="19">
        <f t="shared" ca="1" si="14"/>
        <v>0</v>
      </c>
      <c r="BY34" s="19">
        <f t="shared" ca="1" si="14"/>
        <v>0</v>
      </c>
      <c r="BZ34" s="19">
        <f t="shared" ca="1" si="14"/>
        <v>0</v>
      </c>
      <c r="CA34" s="19">
        <f t="shared" ca="1" si="12"/>
        <v>0</v>
      </c>
      <c r="CB34" s="19">
        <f t="shared" ca="1" si="12"/>
        <v>0</v>
      </c>
      <c r="CC34" s="19">
        <f t="shared" ca="1" si="12"/>
        <v>0</v>
      </c>
      <c r="CD34" s="19">
        <f t="shared" ca="1" si="12"/>
        <v>0</v>
      </c>
      <c r="CE34" s="19">
        <f t="shared" ca="1" si="12"/>
        <v>0</v>
      </c>
      <c r="CF34" s="19">
        <f t="shared" ca="1" si="12"/>
        <v>0</v>
      </c>
      <c r="CG34" s="19">
        <f t="shared" ca="1" si="12"/>
        <v>0</v>
      </c>
      <c r="CH34" s="19">
        <f t="shared" ca="1" si="12"/>
        <v>0</v>
      </c>
      <c r="CI34" s="19">
        <f t="shared" ca="1" si="12"/>
        <v>0</v>
      </c>
      <c r="CJ34" s="19">
        <f t="shared" ca="1" si="12"/>
        <v>0</v>
      </c>
      <c r="CK34" s="19">
        <f t="shared" ca="1" si="12"/>
        <v>0</v>
      </c>
      <c r="CL34" s="19">
        <f t="shared" ca="1" si="12"/>
        <v>0</v>
      </c>
      <c r="CM34" s="19">
        <f t="shared" ca="1" si="12"/>
        <v>0</v>
      </c>
      <c r="CN34" s="19">
        <f t="shared" ca="1" si="12"/>
        <v>0</v>
      </c>
      <c r="CO34" s="19">
        <f t="shared" ca="1" si="12"/>
        <v>0</v>
      </c>
      <c r="CP34" s="19">
        <f t="shared" ref="CP34:CT35" ca="1" si="15">IF(AND(OR(AND(MONTH($T34)&lt;=MONTH(CP$3),YEAR($T34)=YEAR(CP$3)),YEAR($T34)&lt;YEAR(CP$3)),OR(AND(MONTH($U34)&gt;=MONTH(CP$3),YEAR($U34)=YEAR(CP$3)),,YEAR($U34)&gt;YEAR(CP$3))),$BI34/(
1+MONTH($U34)-MONTH($T34)+12*(YEAR($U34)-YEAR($T34))),0)</f>
        <v>0</v>
      </c>
      <c r="CQ34" s="19">
        <f t="shared" ca="1" si="15"/>
        <v>0</v>
      </c>
      <c r="CR34" s="19">
        <f t="shared" ca="1" si="15"/>
        <v>0</v>
      </c>
      <c r="CS34" s="19">
        <f t="shared" ca="1" si="15"/>
        <v>0</v>
      </c>
      <c r="CT34" s="19">
        <f t="shared" ca="1" si="15"/>
        <v>0</v>
      </c>
      <c r="CU34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4" s="35"/>
      <c r="CW34" s="36">
        <f ca="1">SuiviExec[[#This Row],[CA Vendu initial (€)]]-SUM(SuiviExec[[#This Row],[CA &lt; 2021]:[CA &gt; 2023]])</f>
        <v>0</v>
      </c>
      <c r="CX34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Y34" s="37">
        <f t="shared" ref="CY34:DN35" ca="1" si="16">IF(AND(OR(AND(MONTH($T34)&lt;=MONTH(CY$3),YEAR($T34)=YEAR(CY$3)),YEAR($T34)&lt;YEAR(CY$3)),OR(AND(MONTH($U34)&gt;=MONTH(CY$3),YEAR($U34)=YEAR(CY$3)),,YEAR($U34)&gt;YEAR(CY$3))),
$K34/(1+MONTH($U34)-MONTH($T34)+12*(YEAR($U34)-YEAR($T34))),0)</f>
        <v>0</v>
      </c>
      <c r="CZ34" s="37">
        <f t="shared" ca="1" si="16"/>
        <v>0</v>
      </c>
      <c r="DA34" s="37">
        <f t="shared" ca="1" si="16"/>
        <v>0</v>
      </c>
      <c r="DB34" s="37">
        <f t="shared" ca="1" si="16"/>
        <v>0</v>
      </c>
      <c r="DC34" s="37">
        <f t="shared" ca="1" si="16"/>
        <v>0</v>
      </c>
      <c r="DD34" s="37">
        <f t="shared" ca="1" si="16"/>
        <v>0</v>
      </c>
      <c r="DE34" s="37">
        <f t="shared" ca="1" si="16"/>
        <v>0</v>
      </c>
      <c r="DF34" s="37">
        <f t="shared" ca="1" si="16"/>
        <v>0</v>
      </c>
      <c r="DG34" s="37">
        <f t="shared" ca="1" si="16"/>
        <v>0</v>
      </c>
      <c r="DH34" s="37">
        <f t="shared" ca="1" si="16"/>
        <v>0</v>
      </c>
      <c r="DI34" s="37">
        <f t="shared" ca="1" si="16"/>
        <v>1134</v>
      </c>
      <c r="DJ34" s="37">
        <f t="shared" ca="1" si="16"/>
        <v>0</v>
      </c>
      <c r="DK34" s="37">
        <f t="shared" ca="1" si="16"/>
        <v>0</v>
      </c>
      <c r="DL34" s="37">
        <f t="shared" ca="1" si="16"/>
        <v>0</v>
      </c>
      <c r="DM34" s="37">
        <f t="shared" ca="1" si="16"/>
        <v>0</v>
      </c>
      <c r="DN34" s="37">
        <f t="shared" ca="1" si="16"/>
        <v>0</v>
      </c>
      <c r="DO34" s="37">
        <f t="shared" ca="1" si="13"/>
        <v>0</v>
      </c>
      <c r="DP34" s="37">
        <f t="shared" ca="1" si="13"/>
        <v>0</v>
      </c>
      <c r="DQ34" s="37">
        <f t="shared" ca="1" si="13"/>
        <v>0</v>
      </c>
      <c r="DR34" s="37">
        <f t="shared" ca="1" si="13"/>
        <v>0</v>
      </c>
      <c r="DS34" s="37">
        <f t="shared" ca="1" si="13"/>
        <v>0</v>
      </c>
      <c r="DT34" s="37">
        <f t="shared" ca="1" si="13"/>
        <v>0</v>
      </c>
      <c r="DU34" s="37">
        <f t="shared" ca="1" si="13"/>
        <v>0</v>
      </c>
      <c r="DV34" s="37">
        <f t="shared" ca="1" si="13"/>
        <v>0</v>
      </c>
      <c r="DW34" s="37">
        <f t="shared" ca="1" si="13"/>
        <v>0</v>
      </c>
      <c r="DX34" s="37">
        <f t="shared" ca="1" si="13"/>
        <v>0</v>
      </c>
      <c r="DY34" s="37">
        <f t="shared" ca="1" si="13"/>
        <v>0</v>
      </c>
      <c r="DZ34" s="37">
        <f t="shared" ca="1" si="13"/>
        <v>0</v>
      </c>
      <c r="EA34" s="37">
        <f t="shared" ca="1" si="13"/>
        <v>0</v>
      </c>
      <c r="EB34" s="37">
        <f t="shared" ca="1" si="13"/>
        <v>0</v>
      </c>
      <c r="EC34" s="37">
        <f t="shared" ca="1" si="13"/>
        <v>0</v>
      </c>
      <c r="ED34" s="37">
        <f t="shared" ref="ED34:EH35" ca="1" si="17">IF(AND(OR(AND(MONTH($T34)&lt;=MONTH(ED$3),YEAR($T34)=YEAR(ED$3)),YEAR($T34)&lt;YEAR(ED$3)),OR(AND(MONTH($U34)&gt;=MONTH(ED$3),YEAR($U34)=YEAR(ED$3)),,YEAR($U34)&gt;YEAR(ED$3))),
$K34/(1+MONTH($U34)-MONTH($T34)+12*(YEAR($U34)-YEAR($T34))),0)</f>
        <v>0</v>
      </c>
      <c r="EE34" s="37">
        <f t="shared" ca="1" si="17"/>
        <v>0</v>
      </c>
      <c r="EF34" s="37">
        <f t="shared" ca="1" si="17"/>
        <v>0</v>
      </c>
      <c r="EG34" s="37">
        <f t="shared" ca="1" si="17"/>
        <v>0</v>
      </c>
      <c r="EH34" s="37">
        <f t="shared" ca="1" si="17"/>
        <v>0</v>
      </c>
      <c r="EI34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4" s="38">
        <f>IFERROR(SuiviExec[[#This Row],[PAT CA (€)]]/SuiviExec[[#This Row],[CA Vendu initial (€)]],0)</f>
        <v>1</v>
      </c>
      <c r="EK34" s="39"/>
      <c r="EL34" s="40" t="str">
        <f>IF(OR(ISBLANK(SuiviExec[[#This Row],[Budget MO (€)]]),ISBLANK(SuiviExec[[#This Row],[Budget Matériel (€)]]),ISBLANK(SuiviExec[[#This Row],[Budget ST (€)]])),"Budget non détaillé","")</f>
        <v/>
      </c>
    </row>
    <row r="35" spans="1:142" ht="15.75" x14ac:dyDescent="0.25">
      <c r="A35" s="14" t="s">
        <v>195</v>
      </c>
      <c r="B35" s="14" t="s">
        <v>262</v>
      </c>
      <c r="C35" s="14" t="s">
        <v>144</v>
      </c>
      <c r="D35" s="14" t="s">
        <v>144</v>
      </c>
      <c r="E35" s="14" t="s">
        <v>144</v>
      </c>
      <c r="F35" s="14" t="s">
        <v>146</v>
      </c>
      <c r="G35" s="15">
        <v>44197</v>
      </c>
      <c r="H35" s="16" t="s">
        <v>263</v>
      </c>
      <c r="I35" s="16" t="s">
        <v>264</v>
      </c>
      <c r="J35" s="17">
        <v>146000</v>
      </c>
      <c r="K35" s="17">
        <v>16940</v>
      </c>
      <c r="L35" s="18">
        <f>IFERROR(SuiviExec[[#This Row],[Marge Vendue Initiale (€)]]/SuiviExec[[#This Row],[CA Vendu initial (€)]],"")</f>
        <v>0.11602739726027397</v>
      </c>
      <c r="M35" s="17"/>
      <c r="N35" s="19">
        <v>140</v>
      </c>
      <c r="O35" s="20">
        <f>SuiviExec[[#This Row],[Budget MO Etude (€)]]+SuiviExec[[#This Row],[Budget MO Agent (heure)]]*Taux_Horaire_Agent</f>
        <v>4060</v>
      </c>
      <c r="P35" s="17">
        <v>115000</v>
      </c>
      <c r="Q35" s="17">
        <v>10000</v>
      </c>
      <c r="R35" s="21">
        <f>SUM(SuiviExec[[#This Row],[Budget MO (€)]:[Budget ST (€)]])</f>
        <v>129060</v>
      </c>
      <c r="S35" s="22">
        <v>43983</v>
      </c>
      <c r="T35" s="22">
        <v>44347</v>
      </c>
      <c r="U35" s="23"/>
      <c r="V35" s="24" cm="1">
        <f t="array" ref="V35">IFERROR(SUMIFS([1]!TCDGEMO[Total général],[1]!TCDGEMO[CI],SuiviExec[[#This Row],[Code d''imputation]],[1]!TCDGEMO[Profil],"Agent")*#REF!*SuiviExec[[#This Row],[Avancement physique du chantier (%)]]
/SUMPRODUCT((SuiviExec[Code d''imputation]=SuiviExec[[#This Row],[Code d''imputation]])*#REF!*SuiviExec[Avancement physique du chantier (%)]),0)</f>
        <v>0</v>
      </c>
      <c r="W35" s="20">
        <f>IFERROR(SuiviExec[[#This Row],[Réalisé MO Etude (€)]]+SuiviExec[[#This Row],[Réalisé MO Agent (heure)]]*Taux_Horaire_Agent,0)</f>
        <v>0</v>
      </c>
      <c r="X3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PE'!E:E),0)</f>
        <v>0</v>
      </c>
      <c r="Y35" s="23">
        <f>IFERROR(-SuiviExec[[#This Row],[CA Vendu initial (€)]]/SUMIF(SuiviExec[Code d''imputation],SuiviExec[[#This Row],[Code d''imputation]],SuiviExec[CA Vendu initial (€)])
      *
           SUMIF('[1]essb DR AURA PE'!#REF!,_xlfn.CONCAT("07",SuiviExec[[#This Row],[Code d''imputation]]),'[1]essb DR AURA PE'!D:D),0)</f>
        <v>0</v>
      </c>
      <c r="Z35" s="21">
        <f>SUM(SuiviExec[[#This Row],[Réalisé MO (€)]:[Réalisé ST (€)]])</f>
        <v>0</v>
      </c>
      <c r="AA35" s="26">
        <v>1</v>
      </c>
      <c r="AB35" s="41"/>
      <c r="AC35" s="41">
        <v>140</v>
      </c>
      <c r="AD35" s="20">
        <f>IFERROR(SuiviExec[[#This Row],[PAT MO Etude (€)]]+SuiviExec[[#This Row],[PAT MO Agent (heure)]]*Taux_Horaire_Agent,0)</f>
        <v>4060</v>
      </c>
      <c r="AE35" s="28">
        <f>SuiviExec[[#This Row],[Budget Matériel (€)]]</f>
        <v>115000</v>
      </c>
      <c r="AF35" s="28">
        <f>SuiviExec[[#This Row],[Budget ST (€)]]</f>
        <v>10000</v>
      </c>
      <c r="AG35" s="21">
        <f>SUM(SuiviExec[[#This Row],[PAT MO (€)]:[PAT ST (€)]])</f>
        <v>129060</v>
      </c>
      <c r="AH35" s="28">
        <v>146000</v>
      </c>
      <c r="AI35" s="21">
        <f>SuiviExec[[#This Row],[PAT CA (€)]]-SuiviExec[[#This Row],[PAT Coût Total (€)]]</f>
        <v>16940</v>
      </c>
      <c r="AJ35" s="18">
        <f>IFERROR(SuiviExec[[#This Row],[PAT Marge (€)]]/SuiviExec[[#This Row],[PAT CA (€)]],"Saisir le PAT")</f>
        <v>0.11602739726027397</v>
      </c>
      <c r="AK35" s="29"/>
      <c r="AL35" s="28"/>
      <c r="AM35" s="29"/>
      <c r="AN35" s="28"/>
      <c r="AO35" s="30">
        <f>SuiviExec[[#This Row],[CA Vendu initial (€)]]*SuiviExec[[#This Row],[Avancement physique du chantier (%)]]</f>
        <v>146000</v>
      </c>
      <c r="AP35" s="23">
        <v>146000</v>
      </c>
      <c r="AQ35" s="20">
        <f>IF(SuiviExec[[#This Row],[Avancement physique du chantier (%)]]=0,0,SuiviExec[[#This Row],[Situation méritée (CA Produit)]]-SuiviExec[[#This Row],[Montant Facturé (€)]])</f>
        <v>0</v>
      </c>
      <c r="AR35" s="23">
        <v>0</v>
      </c>
      <c r="AS35" s="18">
        <f>IFERROR(IF(OR(SuiviExec[[#This Row],[Réalisé Coût Total (€)]]=0,SuiviExec[[#This Row],[Montant Encaissé (€)]]=0),0,SuiviExec[[#This Row],[Montant Encaissé (€)]]/SuiviExec[[#This Row],[Réalisé Coût Total (€)]]),"")</f>
        <v>0</v>
      </c>
      <c r="AT35" s="23">
        <v>0</v>
      </c>
      <c r="AU35" s="20">
        <f>SuiviExec[[#This Row],[Situation méritée (CA Produit)]]-SuiviExec[[#This Row],[CA Année N-1 (2020)]]</f>
        <v>146000</v>
      </c>
      <c r="AV35" s="20">
        <f ca="1">IFERROR(IF(SuiviExec[[#This Row],[Avancement physique du chantier (%)]]&gt;0,SuiviExec[[#This Row],[Situation méritée (CA Produit)]]-SuiviExec[[#This Row],[Montant Facturé (€)]]-SuiviExec[[#This Row],[CA Année N-1 (2020)]]-SUM(SuiviExec[[#This Row],[Janvier 2022 CA]:[CA &gt; 2023]]),""),"")</f>
        <v>-57909.98320362471</v>
      </c>
      <c r="AW35" s="20">
        <f ca="1">SUM(SuiviExec[[#This Row],[Janvier 2022 CA]:[CA &gt; 2023]])</f>
        <v>0</v>
      </c>
      <c r="AX35" s="20">
        <f>SuiviExec[[#This Row],[Situation méritée (CA Produit)]]-SuiviExec[[#This Row],[CA Année N-1 (2020)]]-SuiviExec[[#This Row],[CA 2021 - Réalisé]]</f>
        <v>0</v>
      </c>
      <c r="AY35" s="23">
        <f>SuiviExec[[#This Row],[Avancement physique du chantier (%)]]*SuiviExec[[#This Row],[Budget MO (€)]]</f>
        <v>4060</v>
      </c>
      <c r="AZ35" s="23">
        <f>SuiviExec[[#This Row],[Avancement physique du chantier (%)]]*SuiviExec[[#This Row],[Budget Matériel (€)]]</f>
        <v>115000</v>
      </c>
      <c r="BA35" s="23">
        <f>SuiviExec[[#This Row],[Budget ST (€)]]*SuiviExec[[#This Row],[Avancement physique du chantier (%)]]</f>
        <v>10000</v>
      </c>
      <c r="BB35" s="20">
        <f>SUM(SuiviExec[[#This Row],[Charges 2021 MO (€)]:[Charges 2021 ST (€)]])</f>
        <v>129060</v>
      </c>
      <c r="BC35" s="31">
        <v>0</v>
      </c>
      <c r="BD35" s="42">
        <f>SuiviExec[[#This Row],[CA 2021 - Réalisé]]-SuiviExec[[#This Row],[Charges 2021 à date]]</f>
        <v>16940</v>
      </c>
      <c r="BE35" s="18">
        <f>IF(SuiviExec[[#This Row],[Avancement physique du chantier (%)]]&gt;0,IFERROR(SuiviExec[[#This Row],[Marge 2021 à date]]/SuiviExec[[#This Row],[CA 2021 - Réalisé]],""),"")</f>
        <v>0.11602739726027397</v>
      </c>
      <c r="BF35" s="32" t="str">
        <f>IF(AND(SuiviExec[[#This Row],[Avancement physique du chantier (%)]]=0),"A réaliser",
IF(AND(SuiviExec[[#This Row],[Avancement physique du chantier (%)]]&gt;0,SuiviExec[[#This Row],[Avancement physique du chantier (%)]]&lt;1),"En cours d'exécution",
IF(AND(SuiviExec[[#This Row],[Avancement physique du chantier (%)]]=1,SuiviExec[[#This Row],[CA Vendu initial (€)]]&lt;&gt;SuiviExec[[#This Row],[Montant Facturé (€)]]),"A facturer",
IF(AND(SuiviExec[[#This Row],[Avancement physique du chantier (%)]]=1,SuiviExec[[#This Row],[CA Vendu initial (€)]]=SuiviExec[[#This Row],[Montant Facturé (€)]],SuiviExec[[#This Row],[CA Vendu initial (€)]]&lt;&gt;SuiviExec[[#This Row],[Montant Encaissé (€)]]),"A encaisser",
IF(AND(SuiviExec[[#This Row],[Avancement physique du chantier (%)]]=1,SuiviExec[[#This Row],[CA Vendu initial (€)]]=SuiviExec[[#This Row],[Montant Encaissé (€)]]),"Terminé","N/A cas non géré")))))</f>
        <v>A encaisser</v>
      </c>
      <c r="BG35" s="29"/>
      <c r="BH35" s="33">
        <f>(SuiviExec[[#This Row],[Budget MO Etude (€)]]/Taux_Horaire_Etude+SuiviExec[[#This Row],[Budget MO Agent (heure)]])</f>
        <v>140</v>
      </c>
      <c r="BI35" s="34">
        <f ca="1">SuiviExec[[#This Row],[Estimation Budget MO (heures)]]-SUM(SuiviExec[[#This Row],[MO &lt; 2021]:[MO &gt; 2023]])</f>
        <v>0</v>
      </c>
      <c r="BJ35" s="27">
        <f>IF(YEAR(SuiviExec[[#This Row],[Date de fin de chantier]])&lt;2021,SuiviExec[[#This Row],[Estimation Budget MO (heures)]],
IF(YEAR(SuiviExec[[#This Row],[Date de début de chantier]])&lt;2021,SuiviExec[[#This Row],[Estimation Budget MO (heures)]]*(12-MONTH(SuiviExec[[#This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81.666666666666671</v>
      </c>
      <c r="BK35" s="19">
        <f t="shared" ca="1" si="14"/>
        <v>11.666666666666666</v>
      </c>
      <c r="BL35" s="19">
        <f t="shared" ca="1" si="14"/>
        <v>11.666666666666666</v>
      </c>
      <c r="BM35" s="19">
        <f t="shared" ca="1" si="14"/>
        <v>11.666666666666666</v>
      </c>
      <c r="BN35" s="19">
        <f t="shared" ca="1" si="14"/>
        <v>11.666666666666666</v>
      </c>
      <c r="BO35" s="19">
        <f t="shared" ca="1" si="14"/>
        <v>11.666666666666666</v>
      </c>
      <c r="BP35" s="19">
        <f t="shared" ca="1" si="14"/>
        <v>0</v>
      </c>
      <c r="BQ35" s="19">
        <f t="shared" ca="1" si="14"/>
        <v>0</v>
      </c>
      <c r="BR35" s="19">
        <f t="shared" ca="1" si="14"/>
        <v>0</v>
      </c>
      <c r="BS35" s="19">
        <f t="shared" ca="1" si="14"/>
        <v>0</v>
      </c>
      <c r="BT35" s="19">
        <f t="shared" ca="1" si="14"/>
        <v>0</v>
      </c>
      <c r="BU35" s="19">
        <f t="shared" ca="1" si="14"/>
        <v>0</v>
      </c>
      <c r="BV35" s="19">
        <f t="shared" ca="1" si="14"/>
        <v>0</v>
      </c>
      <c r="BW35" s="19">
        <f t="shared" ca="1" si="14"/>
        <v>0</v>
      </c>
      <c r="BX35" s="19">
        <f t="shared" ca="1" si="14"/>
        <v>0</v>
      </c>
      <c r="BY35" s="19">
        <f t="shared" ca="1" si="14"/>
        <v>0</v>
      </c>
      <c r="BZ35" s="19">
        <f t="shared" ca="1" si="14"/>
        <v>0</v>
      </c>
      <c r="CA35" s="19">
        <f t="shared" ca="1" si="12"/>
        <v>0</v>
      </c>
      <c r="CB35" s="19">
        <f t="shared" ca="1" si="12"/>
        <v>0</v>
      </c>
      <c r="CC35" s="19">
        <f t="shared" ca="1" si="12"/>
        <v>0</v>
      </c>
      <c r="CD35" s="19">
        <f t="shared" ca="1" si="12"/>
        <v>0</v>
      </c>
      <c r="CE35" s="19">
        <f t="shared" ca="1" si="12"/>
        <v>0</v>
      </c>
      <c r="CF35" s="19">
        <f t="shared" ca="1" si="12"/>
        <v>0</v>
      </c>
      <c r="CG35" s="19">
        <f t="shared" ca="1" si="12"/>
        <v>0</v>
      </c>
      <c r="CH35" s="19">
        <f t="shared" ca="1" si="12"/>
        <v>0</v>
      </c>
      <c r="CI35" s="19">
        <f t="shared" ca="1" si="12"/>
        <v>0</v>
      </c>
      <c r="CJ35" s="19">
        <f t="shared" ca="1" si="12"/>
        <v>0</v>
      </c>
      <c r="CK35" s="19">
        <f t="shared" ca="1" si="12"/>
        <v>0</v>
      </c>
      <c r="CL35" s="19">
        <f t="shared" ca="1" si="12"/>
        <v>0</v>
      </c>
      <c r="CM35" s="19">
        <f t="shared" ca="1" si="12"/>
        <v>0</v>
      </c>
      <c r="CN35" s="19">
        <f t="shared" ca="1" si="12"/>
        <v>0</v>
      </c>
      <c r="CO35" s="19">
        <f t="shared" ca="1" si="12"/>
        <v>0</v>
      </c>
      <c r="CP35" s="19">
        <f t="shared" ca="1" si="15"/>
        <v>0</v>
      </c>
      <c r="CQ35" s="19">
        <f t="shared" ca="1" si="15"/>
        <v>0</v>
      </c>
      <c r="CR35" s="19">
        <f t="shared" ca="1" si="15"/>
        <v>0</v>
      </c>
      <c r="CS35" s="19">
        <f t="shared" ca="1" si="15"/>
        <v>0</v>
      </c>
      <c r="CT35" s="19">
        <f t="shared" ca="1" si="15"/>
        <v>0</v>
      </c>
      <c r="CU35" s="27">
        <f>IF(YEAR(SuiviExec[[#This Row],[Date de début de chantier]])&gt;2023,SuiviExec[[#This Row],[Estimation Budget MO (heures)]],
IF(YEAR(SuiviExec[[#This Row],[Date de fin de chantier]])&gt;2023,SuiviExec[[#This Row],[Estimation Budget MO (heures)]]*(MONTH(SuiviExec[[#This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CV35" s="35"/>
      <c r="CW35" s="36">
        <f ca="1">SuiviExec[[#This Row],[CA Vendu initial (€)]]-SUM(SuiviExec[[#This Row],[CA &lt; 2021]:[CA &gt; 2023]])</f>
        <v>0</v>
      </c>
      <c r="CX35" s="37">
        <f>IF(YEAR(SuiviExec[[#This Row],[Date de fin de chantier]])&lt;2021,SuiviExec[[#This Row],[CA Vendu initial (€)]],
IF(YEAR(SuiviExec[[#This Row],[Date de début de chantier]])&lt;2021,
SuiviExec[[#This Row],[CA Vendu initial (€)]]*(12-MONTH(SuiviExec[[#This Row],[Date de début de chantier]])+12*(2020-YEAR(SuiviExec[[#This Row],[Date de début de chantier]]))+1)
/(MONTH(SuiviExec[[#This Row],[Date de fin de chantier]])+12*(YEAR(SuiviExec[[#This Row],[Date de fin de chantier]])-YEAR(SuiviExec[[#This Row],[Date de début de chantier]]))-MONTH(SuiviExec[[#This Row],[Date de début de chantier]])+1),0))</f>
        <v>85166.666666666672</v>
      </c>
      <c r="CY35" s="37">
        <f t="shared" ca="1" si="16"/>
        <v>12166.666666666666</v>
      </c>
      <c r="CZ35" s="37">
        <f t="shared" ca="1" si="16"/>
        <v>12166.666666666666</v>
      </c>
      <c r="DA35" s="37">
        <f t="shared" ca="1" si="16"/>
        <v>12166.666666666666</v>
      </c>
      <c r="DB35" s="37">
        <f t="shared" ca="1" si="16"/>
        <v>12166.666666666666</v>
      </c>
      <c r="DC35" s="37">
        <f t="shared" ca="1" si="16"/>
        <v>12166.666666666666</v>
      </c>
      <c r="DD35" s="37">
        <f t="shared" ca="1" si="16"/>
        <v>0</v>
      </c>
      <c r="DE35" s="37">
        <f t="shared" ca="1" si="16"/>
        <v>0</v>
      </c>
      <c r="DF35" s="37">
        <f t="shared" ca="1" si="16"/>
        <v>0</v>
      </c>
      <c r="DG35" s="37">
        <f t="shared" ca="1" si="16"/>
        <v>0</v>
      </c>
      <c r="DH35" s="37">
        <f t="shared" ca="1" si="16"/>
        <v>0</v>
      </c>
      <c r="DI35" s="37">
        <f t="shared" ca="1" si="16"/>
        <v>0</v>
      </c>
      <c r="DJ35" s="37">
        <f t="shared" ca="1" si="16"/>
        <v>0</v>
      </c>
      <c r="DK35" s="37">
        <f t="shared" ca="1" si="16"/>
        <v>0</v>
      </c>
      <c r="DL35" s="37">
        <f t="shared" ca="1" si="16"/>
        <v>0</v>
      </c>
      <c r="DM35" s="37">
        <f t="shared" ca="1" si="16"/>
        <v>0</v>
      </c>
      <c r="DN35" s="37">
        <f t="shared" ca="1" si="16"/>
        <v>0</v>
      </c>
      <c r="DO35" s="37">
        <f t="shared" ca="1" si="13"/>
        <v>0</v>
      </c>
      <c r="DP35" s="37">
        <f t="shared" ca="1" si="13"/>
        <v>0</v>
      </c>
      <c r="DQ35" s="37">
        <f t="shared" ca="1" si="13"/>
        <v>0</v>
      </c>
      <c r="DR35" s="37">
        <f t="shared" ca="1" si="13"/>
        <v>0</v>
      </c>
      <c r="DS35" s="37">
        <f t="shared" ca="1" si="13"/>
        <v>0</v>
      </c>
      <c r="DT35" s="37">
        <f t="shared" ca="1" si="13"/>
        <v>0</v>
      </c>
      <c r="DU35" s="37">
        <f t="shared" ca="1" si="13"/>
        <v>0</v>
      </c>
      <c r="DV35" s="37">
        <f t="shared" ca="1" si="13"/>
        <v>0</v>
      </c>
      <c r="DW35" s="37">
        <f t="shared" ca="1" si="13"/>
        <v>0</v>
      </c>
      <c r="DX35" s="37">
        <f t="shared" ca="1" si="13"/>
        <v>0</v>
      </c>
      <c r="DY35" s="37">
        <f t="shared" ca="1" si="13"/>
        <v>0</v>
      </c>
      <c r="DZ35" s="37">
        <f t="shared" ca="1" si="13"/>
        <v>0</v>
      </c>
      <c r="EA35" s="37">
        <f t="shared" ca="1" si="13"/>
        <v>0</v>
      </c>
      <c r="EB35" s="37">
        <f t="shared" ca="1" si="13"/>
        <v>0</v>
      </c>
      <c r="EC35" s="37">
        <f t="shared" ca="1" si="13"/>
        <v>0</v>
      </c>
      <c r="ED35" s="37">
        <f t="shared" ca="1" si="17"/>
        <v>0</v>
      </c>
      <c r="EE35" s="37">
        <f t="shared" ca="1" si="17"/>
        <v>0</v>
      </c>
      <c r="EF35" s="37">
        <f t="shared" ca="1" si="17"/>
        <v>0</v>
      </c>
      <c r="EG35" s="37">
        <f t="shared" ca="1" si="17"/>
        <v>0</v>
      </c>
      <c r="EH35" s="37">
        <f t="shared" ca="1" si="17"/>
        <v>0</v>
      </c>
      <c r="EI35" s="37">
        <f>IF(YEAR(SuiviExec[[#This Row],[Date de début de chantier]])&gt;2023,SuiviExec[[#This Row],[CA Vendu initial (€)]],
IF(YEAR(SuiviExec[[#This Row],[Date de fin de chantier]])&gt;2023,
SuiviExec[[#This Row],[CA Vendu initial (€)]]*(MONTH(SuiviExec[[#This Row],[Date de fin de chantier]])+12*(YEAR(SuiviExec[[#This Row],[Date de fin de chantier]])-2024))
/(MONTH(SuiviExec[[#This Row],[Date de fin de chantier]])+12*(YEAR(SuiviExec[[#This Row],[Date de fin de chantier]])-YEAR(SuiviExec[[#This Row],[Date de début de chantier]]))-MONTH(SuiviExec[[#This Row],[Date de début de chantier]])+1),0))</f>
        <v>0</v>
      </c>
      <c r="EJ35" s="38">
        <f>IFERROR(SuiviExec[[#This Row],[PAT CA (€)]]/SuiviExec[[#This Row],[CA Vendu initial (€)]],0)</f>
        <v>1</v>
      </c>
      <c r="EK35" s="39"/>
      <c r="EL35" s="40" t="str">
        <f>IF(OR(ISBLANK(SuiviExec[[#This Row],[Budget MO (€)]]),ISBLANK(SuiviExec[[#This Row],[Budget Matériel (€)]]),ISBLANK(SuiviExec[[#This Row],[Budget ST (€)]])),"Budget non détaillé","")</f>
        <v/>
      </c>
    </row>
  </sheetData>
  <conditionalFormatting sqref="AB2:AB35">
    <cfRule type="cellIs" dxfId="151" priority="1" operator="notEqual">
      <formula>$N2</formula>
    </cfRule>
  </conditionalFormatting>
  <conditionalFormatting sqref="CW2:CW35 BI2:BI35">
    <cfRule type="cellIs" dxfId="150" priority="8" operator="notEqual">
      <formula>0</formula>
    </cfRule>
  </conditionalFormatting>
  <conditionalFormatting sqref="CX2:EK35 BJ2:CU35">
    <cfRule type="cellIs" dxfId="149" priority="7" operator="notEqual">
      <formula>0</formula>
    </cfRule>
  </conditionalFormatting>
  <conditionalFormatting sqref="AD2:AD35">
    <cfRule type="cellIs" dxfId="148" priority="6" operator="notEqual">
      <formula>$P2</formula>
    </cfRule>
  </conditionalFormatting>
  <conditionalFormatting sqref="AE2:AE35">
    <cfRule type="cellIs" dxfId="147" priority="5" operator="notEqual">
      <formula>$Q2</formula>
    </cfRule>
  </conditionalFormatting>
  <conditionalFormatting sqref="AF2:AF35">
    <cfRule type="cellIs" dxfId="146" priority="4" operator="notEqual">
      <formula>$R2</formula>
    </cfRule>
  </conditionalFormatting>
  <conditionalFormatting sqref="AH2:AH35">
    <cfRule type="cellIs" dxfId="145" priority="3" operator="notEqual">
      <formula>$K2</formula>
    </cfRule>
  </conditionalFormatting>
  <conditionalFormatting sqref="AC2:AC35">
    <cfRule type="cellIs" dxfId="144" priority="2" operator="notEqual">
      <formula>$O2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Vivien</cp:lastModifiedBy>
  <dcterms:created xsi:type="dcterms:W3CDTF">2021-12-25T14:44:12Z</dcterms:created>
  <dcterms:modified xsi:type="dcterms:W3CDTF">2022-01-27T18:45:50Z</dcterms:modified>
</cp:coreProperties>
</file>