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奶量计算器" sheetId="1" r:id="rId1"/>
  </sheets>
  <calcPr calcId="144525"/>
</workbook>
</file>

<file path=xl/sharedStrings.xml><?xml version="1.0" encoding="utf-8"?>
<sst xmlns="http://schemas.openxmlformats.org/spreadsheetml/2006/main" count="176" uniqueCount="82">
  <si>
    <r>
      <rPr>
        <b/>
        <sz val="12"/>
        <color rgb="FFFFFF00"/>
        <rFont val="黑体"/>
        <charset val="134"/>
      </rPr>
      <t>奶妈</t>
    </r>
  </si>
  <si>
    <r>
      <rPr>
        <sz val="10"/>
        <color rgb="FFFFFF00"/>
        <rFont val="黑体"/>
        <charset val="134"/>
      </rPr>
      <t>站街智力</t>
    </r>
  </si>
  <si>
    <r>
      <rPr>
        <sz val="10"/>
        <color rgb="FFFFFF00"/>
        <rFont val="黑体"/>
        <charset val="134"/>
      </rPr>
      <t>适用智力</t>
    </r>
  </si>
  <si>
    <t>技能基础</t>
  </si>
  <si>
    <r>
      <t>进图</t>
    </r>
    <r>
      <rPr>
        <sz val="10"/>
        <color rgb="FFFFFF00"/>
        <rFont val="Times New Roman"/>
        <charset val="134"/>
      </rPr>
      <t>buff</t>
    </r>
    <r>
      <rPr>
        <sz val="10"/>
        <color rgb="FFFFFF00"/>
        <rFont val="黑体"/>
        <charset val="134"/>
      </rPr>
      <t>量</t>
    </r>
  </si>
  <si>
    <r>
      <rPr>
        <sz val="10"/>
        <color rgb="FFFFFF00"/>
        <rFont val="黑体"/>
        <charset val="134"/>
      </rPr>
      <t>固定加成</t>
    </r>
  </si>
  <si>
    <r>
      <rPr>
        <sz val="10"/>
        <color rgb="FFFFFF00"/>
        <rFont val="黑体"/>
        <charset val="134"/>
      </rPr>
      <t>百分比加成</t>
    </r>
  </si>
  <si>
    <t>A</t>
  </si>
  <si>
    <t>X</t>
  </si>
  <si>
    <t>Y</t>
  </si>
  <si>
    <t>Z</t>
  </si>
  <si>
    <r>
      <rPr>
        <sz val="12"/>
        <color theme="1"/>
        <rFont val="Times New Roman"/>
        <charset val="134"/>
      </rPr>
      <t>110</t>
    </r>
    <r>
      <rPr>
        <sz val="12"/>
        <color theme="1"/>
        <rFont val="宋体"/>
        <charset val="134"/>
      </rPr>
      <t>级版本</t>
    </r>
  </si>
  <si>
    <t>荣誉祝福</t>
  </si>
  <si>
    <t>勇气祝福</t>
  </si>
  <si>
    <t>禁忌吟咏</t>
  </si>
  <si>
    <t>可爱的节奏</t>
  </si>
  <si>
    <t>一觉力智</t>
  </si>
  <si>
    <r>
      <rPr>
        <sz val="10"/>
        <color rgb="FFFFFF00"/>
        <rFont val="黑体"/>
        <charset val="134"/>
      </rPr>
      <t>三攻</t>
    </r>
  </si>
  <si>
    <t>等级</t>
  </si>
  <si>
    <t>力智</t>
  </si>
  <si>
    <t>三攻</t>
  </si>
  <si>
    <r>
      <rPr>
        <sz val="10"/>
        <color rgb="FFFFFF00"/>
        <rFont val="黑体"/>
        <charset val="134"/>
      </rPr>
      <t>力智</t>
    </r>
  </si>
  <si>
    <r>
      <rPr>
        <sz val="10"/>
        <color rgb="FFFFFF00"/>
        <rFont val="黑体"/>
        <charset val="134"/>
      </rPr>
      <t>太阳</t>
    </r>
  </si>
  <si>
    <r>
      <rPr>
        <sz val="10"/>
        <color rgb="FFFFFF00"/>
        <rFont val="黑体"/>
        <charset val="134"/>
      </rPr>
      <t>新奶量三攻</t>
    </r>
  </si>
  <si>
    <r>
      <rPr>
        <sz val="10"/>
        <color rgb="FFFFFF00"/>
        <rFont val="黑体"/>
        <charset val="134"/>
      </rPr>
      <t>旧奶量三攻</t>
    </r>
  </si>
  <si>
    <r>
      <rPr>
        <sz val="10"/>
        <color rgb="FFFFFF00"/>
        <rFont val="黑体"/>
        <charset val="134"/>
      </rPr>
      <t>总三攻</t>
    </r>
  </si>
  <si>
    <r>
      <rPr>
        <sz val="10"/>
        <color rgb="FFFFFF00"/>
        <rFont val="Times New Roman"/>
        <charset val="134"/>
      </rPr>
      <t>buff</t>
    </r>
    <r>
      <rPr>
        <sz val="10"/>
        <color rgb="FFFFFF00"/>
        <rFont val="黑体"/>
        <charset val="134"/>
      </rPr>
      <t>等级</t>
    </r>
  </si>
  <si>
    <t>一觉等级</t>
  </si>
  <si>
    <t>耳环附魔</t>
  </si>
  <si>
    <r>
      <rPr>
        <sz val="10"/>
        <color rgb="FFFFFF00"/>
        <rFont val="黑体"/>
        <charset val="134"/>
      </rPr>
      <t>新奶量力智</t>
    </r>
  </si>
  <si>
    <r>
      <rPr>
        <sz val="10"/>
        <color rgb="FFFFFF00"/>
        <rFont val="黑体"/>
        <charset val="134"/>
      </rPr>
      <t>旧奶量力智</t>
    </r>
  </si>
  <si>
    <r>
      <rPr>
        <sz val="10"/>
        <color rgb="FFFFFF00"/>
        <rFont val="黑体"/>
        <charset val="134"/>
      </rPr>
      <t>总力智</t>
    </r>
  </si>
  <si>
    <r>
      <rPr>
        <sz val="10"/>
        <color rgb="FFFFFF00"/>
        <rFont val="Times New Roman"/>
        <charset val="134"/>
      </rPr>
      <t>C</t>
    </r>
    <r>
      <rPr>
        <sz val="10"/>
        <color rgb="FFFFFF00"/>
        <rFont val="黑体"/>
        <charset val="134"/>
      </rPr>
      <t>站街力智</t>
    </r>
  </si>
  <si>
    <t>系统奶下力智</t>
  </si>
  <si>
    <r>
      <rPr>
        <sz val="10"/>
        <color rgb="FFFFFF00"/>
        <rFont val="黑体"/>
        <charset val="134"/>
      </rPr>
      <t>去面板被动模板</t>
    </r>
    <r>
      <rPr>
        <sz val="10"/>
        <color rgb="FFFFFF00"/>
        <rFont val="Times New Roman"/>
        <charset val="134"/>
      </rPr>
      <t>C</t>
    </r>
    <r>
      <rPr>
        <sz val="10"/>
        <color rgb="FFFFFF00"/>
        <rFont val="黑体"/>
        <charset val="134"/>
      </rPr>
      <t>三攻</t>
    </r>
  </si>
  <si>
    <r>
      <rPr>
        <sz val="10"/>
        <color rgb="FFFFFF00"/>
        <rFont val="黑体"/>
        <charset val="134"/>
      </rPr>
      <t>新奶量太阳</t>
    </r>
  </si>
  <si>
    <r>
      <rPr>
        <sz val="10"/>
        <color rgb="FFFFFF00"/>
        <rFont val="黑体"/>
        <charset val="134"/>
      </rPr>
      <t>旧奶量太阳</t>
    </r>
  </si>
  <si>
    <r>
      <rPr>
        <sz val="10"/>
        <color rgb="FFFFFF00"/>
        <rFont val="黑体"/>
        <charset val="134"/>
      </rPr>
      <t>总太阳</t>
    </r>
  </si>
  <si>
    <t>总力智</t>
  </si>
  <si>
    <t>总三攻</t>
  </si>
  <si>
    <t>爆发提升率</t>
  </si>
  <si>
    <t>常驻提升率</t>
  </si>
  <si>
    <r>
      <rPr>
        <b/>
        <sz val="12"/>
        <color rgb="FFFFFF00"/>
        <rFont val="黑体"/>
        <charset val="134"/>
      </rPr>
      <t>奶萝</t>
    </r>
  </si>
  <si>
    <r>
      <rPr>
        <sz val="10"/>
        <color rgb="FFFFFF00"/>
        <rFont val="黑体"/>
        <charset val="134"/>
      </rPr>
      <t>总三攻（非偏爱）</t>
    </r>
  </si>
  <si>
    <r>
      <rPr>
        <sz val="10"/>
        <color rgb="FFFFFF00"/>
        <rFont val="黑体"/>
        <charset val="134"/>
      </rPr>
      <t>总三攻（偏爱）</t>
    </r>
  </si>
  <si>
    <r>
      <rPr>
        <sz val="10"/>
        <color rgb="FFFFFF00"/>
        <rFont val="黑体"/>
        <charset val="134"/>
      </rPr>
      <t>总力智（非偏爱）</t>
    </r>
  </si>
  <si>
    <r>
      <rPr>
        <sz val="10"/>
        <color rgb="FFFFFF00"/>
        <rFont val="黑体"/>
        <charset val="134"/>
      </rPr>
      <t>总力智（偏爱）</t>
    </r>
  </si>
  <si>
    <r>
      <rPr>
        <sz val="10"/>
        <color rgb="FFFFFF00"/>
        <rFont val="黑体"/>
        <charset val="134"/>
      </rPr>
      <t>系统奶下</t>
    </r>
    <r>
      <rPr>
        <sz val="10"/>
        <color rgb="FFFFFF00"/>
        <rFont val="Times New Roman"/>
        <charset val="134"/>
      </rPr>
      <t>C</t>
    </r>
    <r>
      <rPr>
        <sz val="10"/>
        <color rgb="FFFFFF00"/>
        <rFont val="黑体"/>
        <charset val="134"/>
      </rPr>
      <t>力智</t>
    </r>
  </si>
  <si>
    <t>去面板被动模板C三攻</t>
  </si>
  <si>
    <t>总力智（非偏爱）</t>
  </si>
  <si>
    <t>总三攻（非偏爱）</t>
  </si>
  <si>
    <t>爆发提升率（非偏爱）</t>
  </si>
  <si>
    <r>
      <rPr>
        <b/>
        <sz val="10"/>
        <color rgb="FFC00000"/>
        <rFont val="黑体"/>
        <charset val="134"/>
      </rPr>
      <t>常驻提升率</t>
    </r>
    <r>
      <rPr>
        <b/>
        <sz val="10"/>
        <color rgb="FFC00000"/>
        <rFont val="Times New Roman"/>
        <charset val="134"/>
      </rPr>
      <t>(</t>
    </r>
    <r>
      <rPr>
        <b/>
        <sz val="10"/>
        <color rgb="FFC00000"/>
        <rFont val="黑体"/>
        <charset val="134"/>
      </rPr>
      <t>非偏爱）</t>
    </r>
  </si>
  <si>
    <t>总力智（偏爱）</t>
  </si>
  <si>
    <t>总三攻（偏爱）</t>
  </si>
  <si>
    <t>爆发提升率（偏爱）</t>
  </si>
  <si>
    <r>
      <rPr>
        <b/>
        <sz val="10"/>
        <color rgb="FFC00000"/>
        <rFont val="黑体"/>
        <charset val="134"/>
      </rPr>
      <t>常驻提升率</t>
    </r>
    <r>
      <rPr>
        <b/>
        <sz val="10"/>
        <color rgb="FFC00000"/>
        <rFont val="Times New Roman"/>
        <charset val="134"/>
      </rPr>
      <t>(</t>
    </r>
    <r>
      <rPr>
        <b/>
        <sz val="10"/>
        <color rgb="FFC00000"/>
        <rFont val="黑体"/>
        <charset val="134"/>
      </rPr>
      <t>偏爱）</t>
    </r>
  </si>
  <si>
    <t>奶爸</t>
  </si>
  <si>
    <t>站街体精</t>
  </si>
  <si>
    <t>无二觉适用体精</t>
  </si>
  <si>
    <t>二觉适用体精</t>
  </si>
  <si>
    <t>无二觉</t>
  </si>
  <si>
    <t>新奶量三攻</t>
  </si>
  <si>
    <t xml:space="preserve">使用前请先阅读使用说明 </t>
  </si>
  <si>
    <t>圣光十字三攻</t>
  </si>
  <si>
    <t>1.默认携带50四维纹章、附魔耳环</t>
  </si>
  <si>
    <t>2.修改绿色区域，蓝色区域不修改</t>
  </si>
  <si>
    <t>有二觉</t>
  </si>
  <si>
    <t>3.百分比加成为乘算。</t>
  </si>
  <si>
    <t>总力智（无二觉）</t>
  </si>
  <si>
    <t>总三攻（无二觉）</t>
  </si>
  <si>
    <t>爆发提升率（无二觉）</t>
  </si>
  <si>
    <r>
      <rPr>
        <b/>
        <sz val="10"/>
        <color rgb="FFC00000"/>
        <rFont val="黑体"/>
        <charset val="134"/>
      </rPr>
      <t>常驻提升率</t>
    </r>
    <r>
      <rPr>
        <b/>
        <sz val="10"/>
        <color rgb="FFC00000"/>
        <rFont val="Times New Roman"/>
        <charset val="134"/>
      </rPr>
      <t>(</t>
    </r>
    <r>
      <rPr>
        <b/>
        <sz val="10"/>
        <color rgb="FFC00000"/>
        <rFont val="黑体"/>
        <charset val="134"/>
      </rPr>
      <t>无二觉）</t>
    </r>
  </si>
  <si>
    <t>总力智（二觉）</t>
  </si>
  <si>
    <t>总三攻（二觉）</t>
  </si>
  <si>
    <t>爆发提升率（二觉）</t>
  </si>
  <si>
    <r>
      <rPr>
        <b/>
        <sz val="10"/>
        <color rgb="FFC00000"/>
        <rFont val="黑体"/>
        <charset val="134"/>
      </rPr>
      <t>常驻提升率</t>
    </r>
    <r>
      <rPr>
        <b/>
        <sz val="10"/>
        <color rgb="FFC00000"/>
        <rFont val="Times New Roman"/>
        <charset val="134"/>
      </rPr>
      <t>(</t>
    </r>
    <r>
      <rPr>
        <b/>
        <sz val="10"/>
        <color rgb="FFC00000"/>
        <rFont val="黑体"/>
        <charset val="134"/>
      </rPr>
      <t>二觉）</t>
    </r>
  </si>
  <si>
    <t>4.模板C三攻取除去武器精通类直接增加面板的buff后的数值</t>
  </si>
  <si>
    <t>奶弓</t>
  </si>
  <si>
    <t>站街精神</t>
  </si>
  <si>
    <t>适用精神</t>
  </si>
  <si>
    <t>5.百分比加成一栏需要带百分号填写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</si>
</sst>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37">
    <font>
      <sz val="12"/>
      <color theme="1"/>
      <name val="等线"/>
      <charset val="134"/>
      <scheme val="minor"/>
    </font>
    <font>
      <b/>
      <sz val="12"/>
      <color rgb="FFFFFF00"/>
      <name val="Times New Roman"/>
      <charset val="134"/>
    </font>
    <font>
      <sz val="10"/>
      <color rgb="FFFFFF00"/>
      <name val="Times New Roman"/>
      <charset val="134"/>
    </font>
    <font>
      <sz val="10"/>
      <color rgb="FFFFFF00"/>
      <name val="黑体"/>
      <charset val="134"/>
    </font>
    <font>
      <sz val="10"/>
      <color rgb="FFFFFF00"/>
      <name val="宋体"/>
      <charset val="134"/>
    </font>
    <font>
      <sz val="12"/>
      <color rgb="FFF3F5F7"/>
      <name val="Times New Roman"/>
      <charset val="134"/>
    </font>
    <font>
      <sz val="12"/>
      <color rgb="FFFFFF00"/>
      <name val="Times New Roman"/>
      <charset val="134"/>
    </font>
    <font>
      <sz val="12"/>
      <color rgb="FFFFFFFF"/>
      <name val="Times New Roman"/>
      <charset val="134"/>
    </font>
    <font>
      <b/>
      <sz val="10"/>
      <color rgb="FFC00000"/>
      <name val="黑体"/>
      <charset val="134"/>
    </font>
    <font>
      <b/>
      <sz val="12"/>
      <color rgb="FFC00000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b/>
      <sz val="10"/>
      <color rgb="FFC00000"/>
      <name val="Times New Roman"/>
      <charset val="134"/>
    </font>
    <font>
      <b/>
      <sz val="12"/>
      <color rgb="FFFFFF00"/>
      <name val="黑体"/>
      <charset val="134"/>
    </font>
    <font>
      <b/>
      <sz val="12"/>
      <color rgb="FFFFFF00"/>
      <name val="宋体"/>
      <charset val="134"/>
    </font>
    <font>
      <sz val="12"/>
      <color theme="1"/>
      <name val="宋体"/>
      <charset val="134"/>
    </font>
    <font>
      <sz val="16"/>
      <name val="黑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A3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CC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2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21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15" borderId="24" applyNumberFormat="0" applyAlignment="0" applyProtection="0">
      <alignment vertical="center"/>
    </xf>
    <xf numFmtId="0" fontId="31" fillId="15" borderId="20" applyNumberFormat="0" applyAlignment="0" applyProtection="0">
      <alignment vertical="center"/>
    </xf>
    <xf numFmtId="0" fontId="32" fillId="16" borderId="25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73">
    <xf numFmtId="0" fontId="0" fillId="0" borderId="0" xfId="0" applyFont="1">
      <alignment vertical="center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4" fillId="2" borderId="1" xfId="0" applyFont="1" applyFill="1" applyBorder="1" applyAlignment="1"/>
    <xf numFmtId="0" fontId="5" fillId="3" borderId="1" xfId="0" applyFont="1" applyFill="1" applyBorder="1" applyAlignment="1" applyProtection="1">
      <alignment horizontal="right"/>
      <protection locked="0"/>
    </xf>
    <xf numFmtId="0" fontId="6" fillId="2" borderId="1" xfId="0" applyFont="1" applyFill="1" applyBorder="1" applyAlignment="1">
      <alignment horizontal="right"/>
    </xf>
    <xf numFmtId="9" fontId="5" fillId="3" borderId="1" xfId="0" applyNumberFormat="1" applyFont="1" applyFill="1" applyBorder="1" applyAlignment="1" applyProtection="1">
      <alignment horizontal="right"/>
      <protection locked="0"/>
    </xf>
    <xf numFmtId="176" fontId="6" fillId="2" borderId="1" xfId="0" applyNumberFormat="1" applyFont="1" applyFill="1" applyBorder="1" applyAlignment="1">
      <alignment horizontal="right"/>
    </xf>
    <xf numFmtId="176" fontId="2" fillId="2" borderId="1" xfId="0" applyNumberFormat="1" applyFont="1" applyFill="1" applyBorder="1" applyAlignment="1"/>
    <xf numFmtId="0" fontId="2" fillId="2" borderId="2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protection locked="0"/>
    </xf>
    <xf numFmtId="176" fontId="6" fillId="2" borderId="4" xfId="0" applyNumberFormat="1" applyFont="1" applyFill="1" applyBorder="1" applyAlignment="1">
      <alignment horizontal="right"/>
    </xf>
    <xf numFmtId="0" fontId="2" fillId="2" borderId="5" xfId="0" applyFont="1" applyFill="1" applyBorder="1" applyAlignment="1"/>
    <xf numFmtId="0" fontId="3" fillId="2" borderId="6" xfId="0" applyFont="1" applyFill="1" applyBorder="1" applyAlignment="1"/>
    <xf numFmtId="0" fontId="7" fillId="3" borderId="7" xfId="0" applyFont="1" applyFill="1" applyBorder="1" applyAlignment="1" applyProtection="1">
      <alignment horizontal="right"/>
      <protection locked="0"/>
    </xf>
    <xf numFmtId="0" fontId="6" fillId="2" borderId="8" xfId="0" applyFont="1" applyFill="1" applyBorder="1" applyAlignment="1">
      <alignment horizontal="right"/>
    </xf>
    <xf numFmtId="0" fontId="8" fillId="4" borderId="1" xfId="0" applyFont="1" applyFill="1" applyBorder="1" applyAlignment="1"/>
    <xf numFmtId="176" fontId="9" fillId="4" borderId="1" xfId="0" applyNumberFormat="1" applyFont="1" applyFill="1" applyBorder="1" applyAlignment="1">
      <alignment horizontal="right"/>
    </xf>
    <xf numFmtId="177" fontId="9" fillId="4" borderId="1" xfId="0" applyNumberFormat="1" applyFont="1" applyFill="1" applyBorder="1" applyAlignment="1">
      <alignment horizontal="right"/>
    </xf>
    <xf numFmtId="0" fontId="8" fillId="4" borderId="9" xfId="0" applyFont="1" applyFill="1" applyBorder="1" applyAlignment="1"/>
    <xf numFmtId="177" fontId="9" fillId="4" borderId="9" xfId="0" applyNumberFormat="1" applyFont="1" applyFill="1" applyBorder="1" applyAlignment="1">
      <alignment horizontal="right"/>
    </xf>
    <xf numFmtId="0" fontId="10" fillId="0" borderId="0" xfId="0" applyFont="1">
      <alignment vertical="center"/>
    </xf>
    <xf numFmtId="0" fontId="11" fillId="0" borderId="0" xfId="0" applyFont="1" applyAlignment="1"/>
    <xf numFmtId="10" fontId="10" fillId="0" borderId="0" xfId="0" applyNumberFormat="1" applyFont="1" applyAlignment="1"/>
    <xf numFmtId="0" fontId="8" fillId="4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13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76" fontId="6" fillId="2" borderId="2" xfId="0" applyNumberFormat="1" applyFont="1" applyFill="1" applyBorder="1" applyAlignment="1">
      <alignment horizontal="right"/>
    </xf>
    <xf numFmtId="0" fontId="7" fillId="3" borderId="7" xfId="0" applyFont="1" applyFill="1" applyBorder="1" applyAlignment="1" applyProtection="1">
      <protection locked="0"/>
    </xf>
    <xf numFmtId="0" fontId="8" fillId="4" borderId="4" xfId="0" applyFont="1" applyFill="1" applyBorder="1" applyAlignment="1"/>
    <xf numFmtId="0" fontId="8" fillId="4" borderId="10" xfId="0" applyFont="1" applyFill="1" applyBorder="1" applyAlignment="1"/>
    <xf numFmtId="176" fontId="9" fillId="4" borderId="1" xfId="0" applyNumberFormat="1" applyFont="1" applyFill="1" applyBorder="1" applyAlignment="1"/>
    <xf numFmtId="0" fontId="8" fillId="4" borderId="11" xfId="0" applyFont="1" applyFill="1" applyBorder="1" applyAlignment="1"/>
    <xf numFmtId="0" fontId="14" fillId="2" borderId="1" xfId="0" applyFont="1" applyFill="1" applyBorder="1" applyAlignment="1"/>
    <xf numFmtId="0" fontId="1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7" fillId="3" borderId="1" xfId="0" applyFont="1" applyFill="1" applyBorder="1" applyAlignment="1" applyProtection="1">
      <alignment horizontal="right"/>
      <protection locked="0"/>
    </xf>
    <xf numFmtId="0" fontId="3" fillId="2" borderId="6" xfId="0" applyFont="1" applyFill="1" applyBorder="1" applyAlignment="1">
      <alignment horizontal="center"/>
    </xf>
    <xf numFmtId="0" fontId="10" fillId="0" borderId="15" xfId="0" applyFont="1" applyBorder="1" applyAlignment="1">
      <alignment horizontal="center"/>
    </xf>
    <xf numFmtId="176" fontId="6" fillId="2" borderId="10" xfId="0" applyNumberFormat="1" applyFont="1" applyFill="1" applyBorder="1" applyAlignment="1">
      <alignment horizontal="right"/>
    </xf>
    <xf numFmtId="0" fontId="7" fillId="3" borderId="16" xfId="0" applyFont="1" applyFill="1" applyBorder="1" applyAlignment="1" applyProtection="1">
      <alignment horizontal="center"/>
      <protection locked="0"/>
    </xf>
    <xf numFmtId="0" fontId="7" fillId="3" borderId="17" xfId="0" applyFont="1" applyFill="1" applyBorder="1" applyAlignment="1" applyProtection="1">
      <alignment horizontal="center"/>
      <protection locked="0"/>
    </xf>
    <xf numFmtId="0" fontId="7" fillId="3" borderId="4" xfId="0" applyFont="1" applyFill="1" applyBorder="1" applyAlignment="1" applyProtection="1">
      <alignment horizontal="right"/>
      <protection locked="0"/>
    </xf>
    <xf numFmtId="0" fontId="2" fillId="2" borderId="6" xfId="0" applyFont="1" applyFill="1" applyBorder="1" applyAlignment="1"/>
    <xf numFmtId="0" fontId="10" fillId="0" borderId="15" xfId="0" applyFont="1" applyBorder="1" applyAlignment="1"/>
    <xf numFmtId="0" fontId="8" fillId="4" borderId="9" xfId="0" applyFont="1" applyFill="1" applyBorder="1" applyAlignment="1">
      <alignment horizontal="left"/>
    </xf>
    <xf numFmtId="0" fontId="12" fillId="4" borderId="9" xfId="0" applyFont="1" applyFill="1" applyBorder="1" applyAlignment="1">
      <alignment horizontal="left"/>
    </xf>
    <xf numFmtId="0" fontId="12" fillId="4" borderId="1" xfId="0" applyFont="1" applyFill="1" applyBorder="1" applyAlignment="1"/>
    <xf numFmtId="177" fontId="9" fillId="4" borderId="1" xfId="0" applyNumberFormat="1" applyFont="1" applyFill="1" applyBorder="1" applyAlignment="1"/>
    <xf numFmtId="0" fontId="10" fillId="0" borderId="0" xfId="0" applyFont="1" applyAlignment="1">
      <alignment horizontal="right" vertical="center"/>
    </xf>
    <xf numFmtId="0" fontId="10" fillId="0" borderId="9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7" fillId="3" borderId="10" xfId="0" applyFont="1" applyFill="1" applyBorder="1" applyAlignment="1" applyProtection="1">
      <protection locked="0"/>
    </xf>
    <xf numFmtId="0" fontId="16" fillId="5" borderId="0" xfId="0" applyFont="1" applyFill="1">
      <alignment vertical="center"/>
    </xf>
    <xf numFmtId="0" fontId="3" fillId="2" borderId="15" xfId="0" applyFont="1" applyFill="1" applyBorder="1" applyAlignment="1"/>
    <xf numFmtId="0" fontId="6" fillId="2" borderId="8" xfId="0" applyFont="1" applyFill="1" applyBorder="1" applyAlignment="1"/>
    <xf numFmtId="177" fontId="9" fillId="4" borderId="9" xfId="0" applyNumberFormat="1" applyFont="1" applyFill="1" applyBorder="1" applyAlignment="1"/>
    <xf numFmtId="0" fontId="8" fillId="4" borderId="18" xfId="0" applyFont="1" applyFill="1" applyBorder="1" applyAlignment="1"/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18415</xdr:colOff>
      <xdr:row>29</xdr:row>
      <xdr:rowOff>17145</xdr:rowOff>
    </xdr:from>
    <xdr:to>
      <xdr:col>22</xdr:col>
      <xdr:colOff>12065</xdr:colOff>
      <xdr:row>34</xdr:row>
      <xdr:rowOff>20320</xdr:rowOff>
    </xdr:to>
    <xdr:sp>
      <xdr:nvSpPr>
        <xdr:cNvPr id="2" name="文本框 1"/>
        <xdr:cNvSpPr txBox="1"/>
      </xdr:nvSpPr>
      <xdr:spPr>
        <a:xfrm>
          <a:off x="10239375" y="6052820"/>
          <a:ext cx="5568950" cy="134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    </a:t>
          </a:r>
          <a:r>
            <a:rPr lang="en-US" altLang="zh-CN" sz="1100"/>
            <a:t>  </a:t>
          </a:r>
          <a:r>
            <a:rPr lang="zh-CN" altLang="en-US" sz="1100"/>
            <a:t>举例： 携带LV30技能力智加成4%、8%、8%的三个护石，同时携带有LV30技能力智加成3%的奶宠，还携带有buff技能力智加成5%的辟邪玉。</a:t>
          </a:r>
          <a:endParaRPr lang="zh-CN" altLang="en-US" sz="1100"/>
        </a:p>
        <a:p>
          <a:pPr algn="l"/>
          <a:r>
            <a:rPr lang="en-US" altLang="zh-CN" sz="1100"/>
            <a:t>       </a:t>
          </a:r>
          <a:r>
            <a:rPr lang="zh-CN" altLang="en-US" sz="1100"/>
            <a:t>此时百分比加成栏填写</a:t>
          </a:r>
          <a:endParaRPr lang="zh-CN" altLang="en-US" sz="1100"/>
        </a:p>
        <a:p>
          <a:pPr algn="ctr"/>
          <a:r>
            <a:rPr lang="en-US" altLang="zh-CN" sz="1100"/>
            <a:t>=1.04*1.08*1.08*1.03*1.05-1</a:t>
          </a:r>
          <a:endParaRPr lang="en-US" altLang="zh-CN" sz="1100"/>
        </a:p>
        <a:p>
          <a:pPr algn="l"/>
          <a:r>
            <a:rPr lang="en-US" altLang="zh-CN" sz="1100"/>
            <a:t>        </a:t>
          </a:r>
          <a:r>
            <a:rPr lang="zh-CN" altLang="en-US" sz="1100"/>
            <a:t>三攻，太阳同理。</a:t>
          </a:r>
          <a:endParaRPr lang="en-US" altLang="zh-CN" sz="1100"/>
        </a:p>
      </xdr:txBody>
    </xdr:sp>
    <xdr:clientData/>
  </xdr:twoCellAnchor>
  <xdr:twoCellAnchor>
    <xdr:from>
      <xdr:col>14</xdr:col>
      <xdr:colOff>6350</xdr:colOff>
      <xdr:row>35</xdr:row>
      <xdr:rowOff>8890</xdr:rowOff>
    </xdr:from>
    <xdr:to>
      <xdr:col>21</xdr:col>
      <xdr:colOff>571500</xdr:colOff>
      <xdr:row>37</xdr:row>
      <xdr:rowOff>176530</xdr:rowOff>
    </xdr:to>
    <xdr:sp>
      <xdr:nvSpPr>
        <xdr:cNvPr id="3" name="文本框 2"/>
        <xdr:cNvSpPr txBox="1"/>
      </xdr:nvSpPr>
      <xdr:spPr>
        <a:xfrm>
          <a:off x="10227310" y="7654290"/>
          <a:ext cx="5454650" cy="701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       </a:t>
          </a:r>
          <a:r>
            <a:rPr lang="zh-CN" altLang="en-US" sz="1100"/>
            <a:t>举例：假如一剑魂有</a:t>
          </a:r>
          <a:r>
            <a:rPr lang="en-US" altLang="zh-CN" sz="1100"/>
            <a:t>Lv24</a:t>
          </a:r>
          <a:r>
            <a:rPr lang="zh-CN" altLang="en-US" sz="1100"/>
            <a:t>的光剑精通，此时面板增加</a:t>
          </a:r>
          <a:r>
            <a:rPr lang="en-US" altLang="zh-CN" sz="1100"/>
            <a:t>45%</a:t>
          </a:r>
          <a:r>
            <a:rPr lang="zh-CN" altLang="en-US" sz="1100"/>
            <a:t>，假设他站街面板为</a:t>
          </a:r>
          <a:r>
            <a:rPr lang="en-US" altLang="zh-CN" sz="1100"/>
            <a:t>4785</a:t>
          </a:r>
          <a:r>
            <a:rPr lang="zh-CN" altLang="en-US" sz="1100"/>
            <a:t>，根据计算</a:t>
          </a:r>
          <a:r>
            <a:rPr lang="en-US" altLang="zh-CN">
              <a:sym typeface="+mn-ea"/>
            </a:rPr>
            <a:t>4785/1.45=3300</a:t>
          </a:r>
          <a:r>
            <a:rPr lang="zh-CN" altLang="en-US">
              <a:sym typeface="+mn-ea"/>
            </a:rPr>
            <a:t>，</a:t>
          </a:r>
          <a:r>
            <a:rPr lang="zh-CN" altLang="en-US" sz="1100"/>
            <a:t>那么此时这栏填写</a:t>
          </a:r>
          <a:r>
            <a:rPr lang="en-US" altLang="zh-CN" sz="1100"/>
            <a:t>3300</a:t>
          </a:r>
          <a:r>
            <a:rPr lang="zh-CN" altLang="en-US" sz="1100"/>
            <a:t>即可。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3"/>
  <sheetViews>
    <sheetView tabSelected="1" zoomScale="85" zoomScaleNormal="85" workbookViewId="0">
      <selection activeCell="M21" sqref="M21"/>
    </sheetView>
  </sheetViews>
  <sheetFormatPr defaultColWidth="8.30769230769231" defaultRowHeight="15.5"/>
  <cols>
    <col min="1" max="1" width="8.31538461538462" customWidth="1"/>
    <col min="2" max="2" width="9" customWidth="1"/>
    <col min="3" max="3" width="11.3076923076923" customWidth="1"/>
    <col min="4" max="4" width="10.6153846153846" customWidth="1"/>
    <col min="5" max="5" width="9.23076923076923" customWidth="1"/>
    <col min="6" max="6" width="7.30769230769231" customWidth="1"/>
    <col min="7" max="7" width="8.38461538461539" customWidth="1"/>
    <col min="8" max="8" width="9.76923076923077" customWidth="1"/>
    <col min="9" max="13" width="8.31538461538462" customWidth="1"/>
    <col min="15" max="15" width="9.38461538461539" customWidth="1"/>
  </cols>
  <sheetData>
    <row r="1" spans="1:24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"/>
      <c r="M1" s="22"/>
      <c r="N1" s="22"/>
      <c r="O1" s="38" t="s">
        <v>11</v>
      </c>
      <c r="P1" s="39" t="s">
        <v>12</v>
      </c>
      <c r="Q1" s="67"/>
      <c r="R1" s="39" t="s">
        <v>13</v>
      </c>
      <c r="S1" s="67"/>
      <c r="T1" s="39" t="s">
        <v>14</v>
      </c>
      <c r="U1" s="67"/>
      <c r="V1" s="39" t="s">
        <v>15</v>
      </c>
      <c r="W1" s="67"/>
      <c r="X1" s="68" t="s">
        <v>16</v>
      </c>
    </row>
    <row r="2" spans="1:24">
      <c r="A2" s="2" t="s">
        <v>17</v>
      </c>
      <c r="B2" s="5">
        <v>7596</v>
      </c>
      <c r="C2" s="6">
        <f>B2+554+50+L5</f>
        <v>8400</v>
      </c>
      <c r="D2" s="6">
        <f>VLOOKUP(H5,O:X,5,0)</f>
        <v>92</v>
      </c>
      <c r="E2" s="5">
        <v>109250</v>
      </c>
      <c r="F2" s="5">
        <v>10</v>
      </c>
      <c r="G2" s="7">
        <v>0</v>
      </c>
      <c r="H2" s="6">
        <v>665</v>
      </c>
      <c r="I2" s="6">
        <v>4350</v>
      </c>
      <c r="J2" s="6">
        <v>3500</v>
      </c>
      <c r="K2" s="6">
        <v>3.7886e-5</v>
      </c>
      <c r="L2" s="8"/>
      <c r="M2" s="22"/>
      <c r="N2" s="22"/>
      <c r="O2" s="40" t="s">
        <v>18</v>
      </c>
      <c r="P2" s="41" t="s">
        <v>19</v>
      </c>
      <c r="Q2" s="41" t="s">
        <v>20</v>
      </c>
      <c r="R2" s="41" t="s">
        <v>19</v>
      </c>
      <c r="S2" s="41" t="s">
        <v>20</v>
      </c>
      <c r="T2" s="41" t="s">
        <v>19</v>
      </c>
      <c r="U2" s="41" t="s">
        <v>20</v>
      </c>
      <c r="V2" s="41" t="s">
        <v>19</v>
      </c>
      <c r="W2" s="41" t="s">
        <v>20</v>
      </c>
      <c r="X2" s="69"/>
    </row>
    <row r="3" spans="1:24">
      <c r="A3" s="2" t="s">
        <v>21</v>
      </c>
      <c r="B3" s="6">
        <f>B2</f>
        <v>7596</v>
      </c>
      <c r="C3" s="6">
        <f>C2</f>
        <v>8400</v>
      </c>
      <c r="D3" s="6">
        <f>VLOOKUP(H5,O:X,4,0)</f>
        <v>511</v>
      </c>
      <c r="E3" s="6">
        <f>E2</f>
        <v>109250</v>
      </c>
      <c r="F3" s="5">
        <v>0</v>
      </c>
      <c r="G3" s="7">
        <f>1.08*1.08*1.04-1</f>
        <v>0.213056</v>
      </c>
      <c r="H3" s="6">
        <v>665</v>
      </c>
      <c r="I3" s="6">
        <v>4350</v>
      </c>
      <c r="J3" s="6">
        <v>3500</v>
      </c>
      <c r="K3" s="6">
        <v>3.7886e-5</v>
      </c>
      <c r="L3" s="8"/>
      <c r="M3" s="22"/>
      <c r="N3" s="22"/>
      <c r="O3" s="42">
        <v>20</v>
      </c>
      <c r="P3" s="43">
        <v>390</v>
      </c>
      <c r="Q3" s="70">
        <v>77</v>
      </c>
      <c r="R3" s="43">
        <v>353</v>
      </c>
      <c r="S3" s="70">
        <v>69</v>
      </c>
      <c r="T3" s="43">
        <v>300</v>
      </c>
      <c r="U3" s="70">
        <v>60</v>
      </c>
      <c r="V3" s="43">
        <v>372</v>
      </c>
      <c r="W3" s="70">
        <v>72</v>
      </c>
      <c r="X3" s="71">
        <v>567</v>
      </c>
    </row>
    <row r="4" spans="1:24">
      <c r="A4" s="2" t="s">
        <v>22</v>
      </c>
      <c r="B4" s="6">
        <f>B2</f>
        <v>7596</v>
      </c>
      <c r="C4" s="6">
        <f>C2</f>
        <v>8400</v>
      </c>
      <c r="D4" s="6">
        <f>VLOOKUP(J5,O:X,10,0)</f>
        <v>1533</v>
      </c>
      <c r="E4" s="6">
        <f>E2</f>
        <v>109250</v>
      </c>
      <c r="F4" s="5">
        <v>0</v>
      </c>
      <c r="G4" s="7">
        <v>0</v>
      </c>
      <c r="H4" s="6">
        <v>750</v>
      </c>
      <c r="I4" s="6">
        <v>5250</v>
      </c>
      <c r="J4" s="6">
        <v>5000</v>
      </c>
      <c r="K4" s="6">
        <v>2.5e-5</v>
      </c>
      <c r="L4" s="8"/>
      <c r="M4" s="22"/>
      <c r="N4" s="22"/>
      <c r="O4" s="42">
        <v>21</v>
      </c>
      <c r="P4" s="43">
        <v>401</v>
      </c>
      <c r="Q4" s="70">
        <v>78</v>
      </c>
      <c r="R4" s="43">
        <v>363</v>
      </c>
      <c r="S4" s="70">
        <v>70</v>
      </c>
      <c r="T4" s="43">
        <v>309</v>
      </c>
      <c r="U4" s="70">
        <v>61</v>
      </c>
      <c r="V4" s="43">
        <v>382</v>
      </c>
      <c r="W4" s="70">
        <v>73</v>
      </c>
      <c r="X4" s="71">
        <v>608</v>
      </c>
    </row>
    <row r="5" ht="16.25" spans="1:24">
      <c r="A5" s="2" t="s">
        <v>23</v>
      </c>
      <c r="B5" s="8">
        <f>D2*((C2+I2)/H2+1)*(E2+J2)*K2</f>
        <v>7927.79049228571</v>
      </c>
      <c r="C5" s="9" t="s">
        <v>24</v>
      </c>
      <c r="D5" s="8">
        <f>(D2+F2)*(C2/H2+1)*(1+G2)</f>
        <v>1390.42105263158</v>
      </c>
      <c r="E5" s="2" t="s">
        <v>25</v>
      </c>
      <c r="F5" s="8">
        <f>(D5+B5)*1.08*1.15</f>
        <v>11573.2187387873</v>
      </c>
      <c r="G5" s="10" t="s">
        <v>26</v>
      </c>
      <c r="H5" s="11">
        <v>35</v>
      </c>
      <c r="I5" s="44" t="s">
        <v>27</v>
      </c>
      <c r="J5" s="11">
        <v>38</v>
      </c>
      <c r="K5" s="30" t="s">
        <v>28</v>
      </c>
      <c r="L5" s="45">
        <v>200</v>
      </c>
      <c r="M5" s="22"/>
      <c r="N5" s="22"/>
      <c r="O5" s="42">
        <v>22</v>
      </c>
      <c r="P5" s="43">
        <v>414</v>
      </c>
      <c r="Q5" s="70">
        <v>80</v>
      </c>
      <c r="R5" s="43">
        <v>374</v>
      </c>
      <c r="S5" s="70">
        <v>71</v>
      </c>
      <c r="T5" s="43">
        <v>318</v>
      </c>
      <c r="U5" s="70">
        <v>62</v>
      </c>
      <c r="V5" s="43">
        <v>394</v>
      </c>
      <c r="W5" s="70">
        <v>74</v>
      </c>
      <c r="X5" s="71">
        <v>651</v>
      </c>
    </row>
    <row r="6" spans="1:24">
      <c r="A6" s="2" t="s">
        <v>29</v>
      </c>
      <c r="B6" s="8">
        <f>D3*((C3+I3)/H3+1)*(E3+J3)*K3</f>
        <v>44033.7058865</v>
      </c>
      <c r="C6" s="9" t="s">
        <v>30</v>
      </c>
      <c r="D6" s="8">
        <f>(D3+F3)*(C3/H3+1)*(1+G3)</f>
        <v>8449.82887073684</v>
      </c>
      <c r="E6" s="2" t="s">
        <v>31</v>
      </c>
      <c r="F6" s="12">
        <f>(D6+B6)*1.08*1.15</f>
        <v>65184.5501684882</v>
      </c>
      <c r="G6" s="13" t="s">
        <v>32</v>
      </c>
      <c r="H6" s="14" t="s">
        <v>33</v>
      </c>
      <c r="I6" s="46" t="s">
        <v>34</v>
      </c>
      <c r="J6" s="47"/>
      <c r="K6" s="48"/>
      <c r="L6" s="8"/>
      <c r="M6" s="22"/>
      <c r="N6" s="22"/>
      <c r="O6" s="42">
        <v>23</v>
      </c>
      <c r="P6" s="43">
        <v>425</v>
      </c>
      <c r="Q6" s="70">
        <v>82</v>
      </c>
      <c r="R6" s="43">
        <v>385</v>
      </c>
      <c r="S6" s="70">
        <v>73</v>
      </c>
      <c r="T6" s="43">
        <v>327</v>
      </c>
      <c r="U6" s="70">
        <v>64</v>
      </c>
      <c r="V6" s="43">
        <v>406</v>
      </c>
      <c r="W6" s="70">
        <v>76</v>
      </c>
      <c r="X6" s="71">
        <v>696</v>
      </c>
    </row>
    <row r="7" ht="16.25" spans="1:24">
      <c r="A7" s="2" t="s">
        <v>35</v>
      </c>
      <c r="B7" s="8">
        <f>D4*((C4+I4)/H4+1)*(E4+J4)*K4</f>
        <v>84069.72</v>
      </c>
      <c r="C7" s="9" t="s">
        <v>36</v>
      </c>
      <c r="D7" s="8">
        <f>(D4+F4)*(C4/H4+1)*(1+G4)</f>
        <v>18702.6</v>
      </c>
      <c r="E7" s="2" t="s">
        <v>37</v>
      </c>
      <c r="F7" s="12">
        <f>1.12*(B7+D7)</f>
        <v>115104.9984</v>
      </c>
      <c r="G7" s="15">
        <v>5500</v>
      </c>
      <c r="H7" s="16">
        <f>(G7-275-691)*3.061+3684+G7</f>
        <v>23062.574</v>
      </c>
      <c r="I7" s="49">
        <v>3350</v>
      </c>
      <c r="J7" s="50"/>
      <c r="K7" s="48"/>
      <c r="L7" s="8"/>
      <c r="M7" s="22"/>
      <c r="N7" s="22"/>
      <c r="O7" s="42">
        <v>24</v>
      </c>
      <c r="P7" s="43">
        <v>437</v>
      </c>
      <c r="Q7" s="70">
        <v>83</v>
      </c>
      <c r="R7" s="43">
        <v>395</v>
      </c>
      <c r="S7" s="70">
        <v>75</v>
      </c>
      <c r="T7" s="43">
        <v>336</v>
      </c>
      <c r="U7" s="70">
        <v>65</v>
      </c>
      <c r="V7" s="43">
        <v>416</v>
      </c>
      <c r="W7" s="70">
        <v>78</v>
      </c>
      <c r="X7" s="71">
        <v>741</v>
      </c>
    </row>
    <row r="8" spans="1:24">
      <c r="A8" s="17" t="s">
        <v>38</v>
      </c>
      <c r="B8" s="18">
        <f>F7+F6+554+306</f>
        <v>181149.548568488</v>
      </c>
      <c r="C8" s="17" t="s">
        <v>39</v>
      </c>
      <c r="D8" s="18">
        <f>F5</f>
        <v>11573.2187387873</v>
      </c>
      <c r="E8" s="17" t="s">
        <v>40</v>
      </c>
      <c r="F8" s="19">
        <f>(B8/H7+1)*(D8/I7+1)*1.135</f>
        <v>44.7700213628509</v>
      </c>
      <c r="G8" s="20" t="s">
        <v>41</v>
      </c>
      <c r="H8" s="21">
        <f>((F6+554+306)/H7+1)*(F5/I7+1)*113.5%</f>
        <v>19.5352156494406</v>
      </c>
      <c r="I8" s="21"/>
      <c r="J8" s="21"/>
      <c r="K8" s="21"/>
      <c r="L8" s="21"/>
      <c r="M8" s="22"/>
      <c r="N8" s="22"/>
      <c r="O8" s="42">
        <v>25</v>
      </c>
      <c r="P8" s="43">
        <v>448</v>
      </c>
      <c r="Q8" s="70">
        <v>85</v>
      </c>
      <c r="R8" s="43">
        <v>406</v>
      </c>
      <c r="S8" s="70">
        <v>77</v>
      </c>
      <c r="T8" s="43">
        <v>345</v>
      </c>
      <c r="U8" s="70">
        <v>66</v>
      </c>
      <c r="V8" s="43">
        <v>428</v>
      </c>
      <c r="W8" s="70">
        <v>80</v>
      </c>
      <c r="X8" s="71">
        <v>789</v>
      </c>
    </row>
    <row r="9" spans="1:24">
      <c r="A9" s="22"/>
      <c r="B9" s="22"/>
      <c r="C9" s="22"/>
      <c r="D9" s="22"/>
      <c r="E9" s="22"/>
      <c r="F9" s="23"/>
      <c r="G9" s="22"/>
      <c r="H9" s="22"/>
      <c r="I9" s="22"/>
      <c r="J9" s="22"/>
      <c r="K9" s="22"/>
      <c r="L9" s="22"/>
      <c r="M9" s="22"/>
      <c r="N9" s="22"/>
      <c r="O9" s="42">
        <v>26</v>
      </c>
      <c r="P9" s="43">
        <v>459</v>
      </c>
      <c r="Q9" s="70">
        <v>87</v>
      </c>
      <c r="R9" s="43">
        <v>415</v>
      </c>
      <c r="S9" s="70">
        <v>79</v>
      </c>
      <c r="T9" s="43">
        <v>353</v>
      </c>
      <c r="U9" s="70">
        <v>68</v>
      </c>
      <c r="V9" s="43">
        <v>437</v>
      </c>
      <c r="W9" s="70">
        <v>82</v>
      </c>
      <c r="X9" s="71">
        <v>838</v>
      </c>
    </row>
    <row r="10" spans="1:24">
      <c r="A10" s="22"/>
      <c r="B10" s="22"/>
      <c r="C10" s="22"/>
      <c r="D10" s="22"/>
      <c r="E10" s="22"/>
      <c r="F10" s="23"/>
      <c r="G10" s="24"/>
      <c r="H10" s="22"/>
      <c r="I10" s="22"/>
      <c r="J10" s="22"/>
      <c r="K10" s="22"/>
      <c r="L10" s="22"/>
      <c r="M10" s="22"/>
      <c r="N10" s="22"/>
      <c r="O10" s="42">
        <v>27</v>
      </c>
      <c r="P10" s="43">
        <v>471</v>
      </c>
      <c r="Q10" s="70">
        <v>88</v>
      </c>
      <c r="R10" s="43">
        <v>425</v>
      </c>
      <c r="S10" s="70">
        <v>80</v>
      </c>
      <c r="T10" s="43">
        <v>362</v>
      </c>
      <c r="U10" s="70">
        <v>69</v>
      </c>
      <c r="V10" s="43">
        <v>448</v>
      </c>
      <c r="W10" s="70">
        <v>83</v>
      </c>
      <c r="X10" s="71">
        <v>888</v>
      </c>
    </row>
    <row r="11" spans="1:24">
      <c r="A11" s="1" t="s">
        <v>42</v>
      </c>
      <c r="B11" s="2" t="s">
        <v>1</v>
      </c>
      <c r="C11" s="2" t="s">
        <v>2</v>
      </c>
      <c r="D11" s="3" t="s">
        <v>3</v>
      </c>
      <c r="E11" s="4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30" t="s">
        <v>28</v>
      </c>
      <c r="M11" s="22"/>
      <c r="N11" s="22"/>
      <c r="O11" s="42">
        <v>28</v>
      </c>
      <c r="P11" s="43">
        <v>483</v>
      </c>
      <c r="Q11" s="70">
        <v>90</v>
      </c>
      <c r="R11" s="43">
        <v>437</v>
      </c>
      <c r="S11" s="70">
        <v>81</v>
      </c>
      <c r="T11" s="43">
        <v>371</v>
      </c>
      <c r="U11" s="70">
        <v>70</v>
      </c>
      <c r="V11" s="43">
        <v>460</v>
      </c>
      <c r="W11" s="70">
        <v>84</v>
      </c>
      <c r="X11" s="71">
        <v>939</v>
      </c>
    </row>
    <row r="12" spans="1:24">
      <c r="A12" s="2" t="s">
        <v>17</v>
      </c>
      <c r="B12" s="5">
        <v>7596</v>
      </c>
      <c r="C12" s="6">
        <f>B12+554+50+L12</f>
        <v>8400</v>
      </c>
      <c r="D12" s="6">
        <f>VLOOKUP(J15,O:U,7,0)</f>
        <v>80</v>
      </c>
      <c r="E12" s="5">
        <v>109250</v>
      </c>
      <c r="F12" s="5">
        <v>10</v>
      </c>
      <c r="G12" s="7">
        <v>0</v>
      </c>
      <c r="H12" s="6">
        <v>665</v>
      </c>
      <c r="I12" s="6">
        <v>4350</v>
      </c>
      <c r="J12" s="6">
        <v>3500</v>
      </c>
      <c r="K12" s="6">
        <v>3.7886e-5</v>
      </c>
      <c r="L12" s="51">
        <v>200</v>
      </c>
      <c r="M12" s="22"/>
      <c r="N12" s="22"/>
      <c r="O12" s="42">
        <v>29</v>
      </c>
      <c r="P12" s="43">
        <v>494</v>
      </c>
      <c r="Q12" s="70">
        <v>92</v>
      </c>
      <c r="R12" s="43">
        <v>447</v>
      </c>
      <c r="S12" s="70">
        <v>83</v>
      </c>
      <c r="T12" s="43">
        <v>380</v>
      </c>
      <c r="U12" s="70">
        <v>72</v>
      </c>
      <c r="V12" s="43">
        <v>471</v>
      </c>
      <c r="W12" s="70">
        <v>86</v>
      </c>
      <c r="X12" s="71">
        <v>993</v>
      </c>
    </row>
    <row r="13" spans="1:24">
      <c r="A13" s="2" t="s">
        <v>21</v>
      </c>
      <c r="B13" s="6">
        <f>B12</f>
        <v>7596</v>
      </c>
      <c r="C13" s="6">
        <f>C12</f>
        <v>8400</v>
      </c>
      <c r="D13" s="6">
        <f>VLOOKUP(J15,O:T,6,0)</f>
        <v>434</v>
      </c>
      <c r="E13" s="6">
        <f>E12</f>
        <v>109250</v>
      </c>
      <c r="F13" s="5">
        <v>0</v>
      </c>
      <c r="G13" s="7">
        <f>1.04*1.04*1.06-1</f>
        <v>0.146496</v>
      </c>
      <c r="H13" s="6">
        <v>665</v>
      </c>
      <c r="I13" s="6">
        <v>4350</v>
      </c>
      <c r="J13" s="6">
        <v>3500</v>
      </c>
      <c r="K13" s="6">
        <v>3.7886e-5</v>
      </c>
      <c r="L13" s="8"/>
      <c r="M13" s="22"/>
      <c r="N13" s="22"/>
      <c r="O13" s="42">
        <v>30</v>
      </c>
      <c r="P13" s="43">
        <v>505</v>
      </c>
      <c r="Q13" s="70">
        <v>93</v>
      </c>
      <c r="R13" s="43">
        <v>458</v>
      </c>
      <c r="S13" s="70">
        <v>85</v>
      </c>
      <c r="T13" s="43">
        <v>389</v>
      </c>
      <c r="U13" s="70">
        <v>73</v>
      </c>
      <c r="V13" s="43">
        <v>482</v>
      </c>
      <c r="W13" s="70">
        <v>88</v>
      </c>
      <c r="X13" s="71">
        <v>1047</v>
      </c>
    </row>
    <row r="14" spans="1:24">
      <c r="A14" s="2" t="s">
        <v>22</v>
      </c>
      <c r="B14" s="6">
        <f>B12</f>
        <v>7596</v>
      </c>
      <c r="C14" s="6">
        <f>C12</f>
        <v>8400</v>
      </c>
      <c r="D14" s="6">
        <f>VLOOKUP(L15,O:X,10,0)</f>
        <v>1533</v>
      </c>
      <c r="E14" s="6">
        <f>E12</f>
        <v>109250</v>
      </c>
      <c r="F14" s="5">
        <v>0</v>
      </c>
      <c r="G14" s="7">
        <v>0</v>
      </c>
      <c r="H14" s="6">
        <v>750</v>
      </c>
      <c r="I14" s="6">
        <v>5250</v>
      </c>
      <c r="J14" s="6">
        <v>5000</v>
      </c>
      <c r="K14" s="6">
        <v>2.5e-5</v>
      </c>
      <c r="L14" s="8"/>
      <c r="M14" s="22"/>
      <c r="N14" s="22"/>
      <c r="O14" s="42">
        <v>31</v>
      </c>
      <c r="P14" s="43">
        <v>518</v>
      </c>
      <c r="Q14" s="70">
        <v>95</v>
      </c>
      <c r="R14" s="43">
        <v>468</v>
      </c>
      <c r="S14" s="70">
        <v>86</v>
      </c>
      <c r="T14" s="43">
        <v>398</v>
      </c>
      <c r="U14" s="70">
        <v>74</v>
      </c>
      <c r="V14" s="43">
        <v>493</v>
      </c>
      <c r="W14" s="70">
        <v>89</v>
      </c>
      <c r="X14" s="71">
        <v>1103</v>
      </c>
    </row>
    <row r="15" ht="16.25" spans="1:24">
      <c r="A15" s="2" t="s">
        <v>23</v>
      </c>
      <c r="B15" s="8">
        <f>D12*((C12+I12)/H12+1)*(E12+J12)*K12</f>
        <v>6893.73086285714</v>
      </c>
      <c r="C15" s="9" t="s">
        <v>24</v>
      </c>
      <c r="D15" s="8">
        <f>(D12+F12)*(C12/H12+1)*(1+G12)</f>
        <v>1226.84210526316</v>
      </c>
      <c r="E15" s="2" t="s">
        <v>43</v>
      </c>
      <c r="F15" s="8">
        <f>(D15+B15)*1.08*1.25</f>
        <v>10962.7735069624</v>
      </c>
      <c r="G15" s="2" t="s">
        <v>44</v>
      </c>
      <c r="H15" s="8">
        <f>F15*1.15</f>
        <v>12607.1895330068</v>
      </c>
      <c r="I15" s="10" t="s">
        <v>26</v>
      </c>
      <c r="J15" s="11">
        <v>35</v>
      </c>
      <c r="K15" s="44" t="s">
        <v>27</v>
      </c>
      <c r="L15" s="11">
        <v>38</v>
      </c>
      <c r="M15" s="22"/>
      <c r="N15" s="22"/>
      <c r="O15" s="42">
        <v>32</v>
      </c>
      <c r="P15" s="43">
        <v>529</v>
      </c>
      <c r="Q15" s="70">
        <v>97</v>
      </c>
      <c r="R15" s="43">
        <v>478</v>
      </c>
      <c r="S15" s="70">
        <v>88</v>
      </c>
      <c r="T15" s="43">
        <v>407</v>
      </c>
      <c r="U15" s="70">
        <v>76</v>
      </c>
      <c r="V15" s="43">
        <v>503</v>
      </c>
      <c r="W15" s="70">
        <v>92</v>
      </c>
      <c r="X15" s="71">
        <v>1160</v>
      </c>
    </row>
    <row r="16" spans="1:24">
      <c r="A16" s="2" t="s">
        <v>29</v>
      </c>
      <c r="B16" s="8">
        <f>D13*((C13+I13)/H13+1)*(E13+J13)*K13</f>
        <v>37398.489931</v>
      </c>
      <c r="C16" s="9" t="s">
        <v>30</v>
      </c>
      <c r="D16" s="8">
        <f>(D13+F13)*(C13/H13+1)*(1+G13)</f>
        <v>6782.79101978948</v>
      </c>
      <c r="E16" s="2" t="s">
        <v>45</v>
      </c>
      <c r="F16" s="8">
        <f>(D16+B16)*1.08*1.25</f>
        <v>59644.7292835658</v>
      </c>
      <c r="G16" s="2" t="s">
        <v>46</v>
      </c>
      <c r="H16" s="12">
        <f>F16*1.15</f>
        <v>68591.4386761007</v>
      </c>
      <c r="I16" s="13" t="s">
        <v>32</v>
      </c>
      <c r="J16" s="52" t="s">
        <v>47</v>
      </c>
      <c r="K16" s="14" t="s">
        <v>48</v>
      </c>
      <c r="L16" s="53"/>
      <c r="M16" s="22"/>
      <c r="N16" s="22"/>
      <c r="O16" s="42">
        <v>33</v>
      </c>
      <c r="P16" s="43">
        <v>541</v>
      </c>
      <c r="Q16" s="70">
        <v>98</v>
      </c>
      <c r="R16" s="43">
        <v>489</v>
      </c>
      <c r="S16" s="70">
        <v>89</v>
      </c>
      <c r="T16" s="43">
        <v>416</v>
      </c>
      <c r="U16" s="70">
        <v>77</v>
      </c>
      <c r="V16" s="43">
        <v>516</v>
      </c>
      <c r="W16" s="70">
        <v>93</v>
      </c>
      <c r="X16" s="71">
        <v>1219</v>
      </c>
    </row>
    <row r="17" ht="16.25" spans="1:24">
      <c r="A17" s="2" t="s">
        <v>35</v>
      </c>
      <c r="B17" s="8">
        <f>D14*((C14+I14)/H14+1)*(E14+J14)*K14</f>
        <v>84069.72</v>
      </c>
      <c r="C17" s="9" t="s">
        <v>36</v>
      </c>
      <c r="D17" s="8">
        <f>(D14+F14)*(C14/H14+1)*(1+G14)</f>
        <v>18702.6</v>
      </c>
      <c r="E17" s="2" t="s">
        <v>37</v>
      </c>
      <c r="F17" s="8">
        <f>1.12*(B17+D17)</f>
        <v>115104.9984</v>
      </c>
      <c r="G17" s="8"/>
      <c r="H17" s="8"/>
      <c r="I17" s="15">
        <v>5500</v>
      </c>
      <c r="J17" s="16">
        <f>(I17-275-691)*3.061+3684+I17</f>
        <v>23062.574</v>
      </c>
      <c r="K17" s="49">
        <v>3350</v>
      </c>
      <c r="L17" s="50"/>
      <c r="M17" s="22"/>
      <c r="N17" s="22"/>
      <c r="O17" s="42">
        <v>34</v>
      </c>
      <c r="P17" s="43">
        <v>552</v>
      </c>
      <c r="Q17" s="70">
        <v>100</v>
      </c>
      <c r="R17" s="43">
        <v>500</v>
      </c>
      <c r="S17" s="70">
        <v>90</v>
      </c>
      <c r="T17" s="43">
        <v>425</v>
      </c>
      <c r="U17" s="70">
        <v>78</v>
      </c>
      <c r="V17" s="43">
        <v>527</v>
      </c>
      <c r="W17" s="70">
        <v>94</v>
      </c>
      <c r="X17" s="71">
        <v>1278</v>
      </c>
    </row>
    <row r="18" spans="1:24">
      <c r="A18" s="25" t="s">
        <v>49</v>
      </c>
      <c r="B18" s="26"/>
      <c r="C18" s="18">
        <f>F17+F16+554</f>
        <v>175303.727683566</v>
      </c>
      <c r="D18" s="25" t="s">
        <v>50</v>
      </c>
      <c r="E18" s="26"/>
      <c r="F18" s="18">
        <f>F15</f>
        <v>10962.7735069624</v>
      </c>
      <c r="G18" s="25" t="s">
        <v>51</v>
      </c>
      <c r="H18" s="26"/>
      <c r="I18" s="21">
        <f>(C18/J17+1)*(F18/K17+1)*1.135</f>
        <v>41.709498951115</v>
      </c>
      <c r="J18" s="54" t="s">
        <v>52</v>
      </c>
      <c r="K18" s="55"/>
      <c r="L18" s="21">
        <f>((F16+554)/J17+1)*(F15/K17+1)*113.5%</f>
        <v>17.5069415142606</v>
      </c>
      <c r="M18" s="22"/>
      <c r="N18" s="22"/>
      <c r="O18" s="42">
        <v>35</v>
      </c>
      <c r="P18" s="43">
        <v>565</v>
      </c>
      <c r="Q18" s="70">
        <v>102</v>
      </c>
      <c r="R18" s="43">
        <v>511</v>
      </c>
      <c r="S18" s="70">
        <v>92</v>
      </c>
      <c r="T18" s="43">
        <v>434</v>
      </c>
      <c r="U18" s="70">
        <v>80</v>
      </c>
      <c r="V18" s="43">
        <v>539</v>
      </c>
      <c r="W18" s="70">
        <v>96</v>
      </c>
      <c r="X18" s="71">
        <v>1340</v>
      </c>
    </row>
    <row r="19" spans="1:24">
      <c r="A19" s="25" t="s">
        <v>53</v>
      </c>
      <c r="B19" s="26"/>
      <c r="C19" s="18">
        <f>H16+F17+554</f>
        <v>184250.437076101</v>
      </c>
      <c r="D19" s="25" t="s">
        <v>54</v>
      </c>
      <c r="E19" s="26"/>
      <c r="F19" s="18">
        <f>H15</f>
        <v>12607.1895330068</v>
      </c>
      <c r="G19" s="25" t="s">
        <v>55</v>
      </c>
      <c r="H19" s="26"/>
      <c r="I19" s="19">
        <f>(C19/J17+1)*(F19/K17+1)*1.135</f>
        <v>48.5988777302669</v>
      </c>
      <c r="J19" s="17" t="s">
        <v>56</v>
      </c>
      <c r="K19" s="56"/>
      <c r="L19" s="57">
        <f>((H16+554)/J17+1)*(H15/K17+1)*113.5%</f>
        <v>21.6156521509967</v>
      </c>
      <c r="M19" s="22"/>
      <c r="N19" s="22"/>
      <c r="O19" s="42">
        <v>36</v>
      </c>
      <c r="P19" s="43">
        <v>575</v>
      </c>
      <c r="Q19" s="70">
        <v>103</v>
      </c>
      <c r="R19" s="43">
        <v>520</v>
      </c>
      <c r="S19" s="70">
        <v>94</v>
      </c>
      <c r="T19" s="43">
        <v>442</v>
      </c>
      <c r="U19" s="70">
        <v>81</v>
      </c>
      <c r="V19" s="43">
        <v>548</v>
      </c>
      <c r="W19" s="70">
        <v>98</v>
      </c>
      <c r="X19" s="71">
        <v>1403</v>
      </c>
    </row>
    <row r="20" spans="1:24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58"/>
      <c r="L20" s="22"/>
      <c r="M20" s="22"/>
      <c r="N20" s="22"/>
      <c r="O20" s="42">
        <v>37</v>
      </c>
      <c r="P20" s="43">
        <v>587</v>
      </c>
      <c r="Q20" s="70">
        <v>105</v>
      </c>
      <c r="R20" s="43">
        <v>530</v>
      </c>
      <c r="S20" s="70">
        <v>95</v>
      </c>
      <c r="T20" s="43">
        <v>451</v>
      </c>
      <c r="U20" s="70">
        <v>82</v>
      </c>
      <c r="V20" s="43">
        <v>559</v>
      </c>
      <c r="W20" s="70">
        <v>99</v>
      </c>
      <c r="X20" s="71">
        <v>1467</v>
      </c>
    </row>
    <row r="21" spans="1:24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42">
        <v>38</v>
      </c>
      <c r="P21" s="43">
        <v>598</v>
      </c>
      <c r="Q21" s="70">
        <v>107</v>
      </c>
      <c r="R21" s="43">
        <v>541</v>
      </c>
      <c r="S21" s="70">
        <v>97</v>
      </c>
      <c r="T21" s="43">
        <v>460</v>
      </c>
      <c r="U21" s="70">
        <v>84</v>
      </c>
      <c r="V21" s="43">
        <v>570</v>
      </c>
      <c r="W21" s="70">
        <v>101</v>
      </c>
      <c r="X21" s="71">
        <v>1533</v>
      </c>
    </row>
    <row r="22" spans="1:24">
      <c r="A22" s="27" t="s">
        <v>57</v>
      </c>
      <c r="B22" s="3" t="s">
        <v>58</v>
      </c>
      <c r="C22" s="3" t="s">
        <v>59</v>
      </c>
      <c r="D22" s="3" t="s">
        <v>60</v>
      </c>
      <c r="E22" s="3" t="s">
        <v>3</v>
      </c>
      <c r="F22" s="4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K22" s="2" t="s">
        <v>9</v>
      </c>
      <c r="L22" s="2" t="s">
        <v>10</v>
      </c>
      <c r="N22" s="22"/>
      <c r="O22" s="42">
        <v>39</v>
      </c>
      <c r="P22" s="43">
        <v>609</v>
      </c>
      <c r="Q22" s="70">
        <v>108</v>
      </c>
      <c r="R22" s="43">
        <v>551</v>
      </c>
      <c r="S22" s="70">
        <v>98</v>
      </c>
      <c r="T22" s="43">
        <v>469</v>
      </c>
      <c r="U22" s="70">
        <v>85</v>
      </c>
      <c r="V22" s="43">
        <v>581</v>
      </c>
      <c r="W22" s="70">
        <v>102</v>
      </c>
      <c r="X22" s="71">
        <v>1600</v>
      </c>
    </row>
    <row r="23" spans="1:24">
      <c r="A23" s="2" t="s">
        <v>17</v>
      </c>
      <c r="B23" s="5">
        <v>7325</v>
      </c>
      <c r="C23" s="6">
        <f>B23+169+281+K27+50</f>
        <v>8025</v>
      </c>
      <c r="D23" s="6">
        <f>C23+720</f>
        <v>8745</v>
      </c>
      <c r="E23" s="6">
        <f>VLOOKUP(I26,O:X,3,0)</f>
        <v>102</v>
      </c>
      <c r="F23" s="5">
        <v>109250</v>
      </c>
      <c r="G23" s="5">
        <v>10</v>
      </c>
      <c r="H23" s="7">
        <v>0</v>
      </c>
      <c r="I23" s="6">
        <v>620</v>
      </c>
      <c r="J23" s="6">
        <v>4345</v>
      </c>
      <c r="K23" s="6">
        <v>3498</v>
      </c>
      <c r="L23" s="6">
        <v>3.5699e-5</v>
      </c>
      <c r="N23" s="22"/>
      <c r="O23" s="59">
        <v>40</v>
      </c>
      <c r="P23" s="60">
        <v>622</v>
      </c>
      <c r="Q23" s="72">
        <v>111</v>
      </c>
      <c r="R23" s="60">
        <v>563</v>
      </c>
      <c r="S23" s="72">
        <v>100</v>
      </c>
      <c r="T23" s="60">
        <v>478</v>
      </c>
      <c r="U23" s="72">
        <v>87</v>
      </c>
      <c r="V23" s="60">
        <v>593</v>
      </c>
      <c r="W23" s="72">
        <v>104</v>
      </c>
      <c r="X23" s="69">
        <v>1668</v>
      </c>
    </row>
    <row r="24" spans="1:15">
      <c r="A24" s="2" t="s">
        <v>21</v>
      </c>
      <c r="B24" s="6">
        <f>B23</f>
        <v>7325</v>
      </c>
      <c r="C24" s="6">
        <f>C23</f>
        <v>8025</v>
      </c>
      <c r="D24" s="6">
        <f>D23</f>
        <v>8745</v>
      </c>
      <c r="E24" s="6">
        <f>VLOOKUP(I26,O:X,2,0)</f>
        <v>565</v>
      </c>
      <c r="F24" s="6">
        <f>F23</f>
        <v>109250</v>
      </c>
      <c r="G24" s="5">
        <v>0</v>
      </c>
      <c r="H24" s="7">
        <f>1.04*1.08*1.08-1</f>
        <v>0.213056</v>
      </c>
      <c r="I24" s="6">
        <v>620</v>
      </c>
      <c r="J24" s="6">
        <v>4345</v>
      </c>
      <c r="K24" s="6">
        <v>3498</v>
      </c>
      <c r="L24" s="6">
        <v>3.5699e-5</v>
      </c>
      <c r="N24" s="22"/>
      <c r="O24" s="22"/>
    </row>
    <row r="25" spans="1:15">
      <c r="A25" s="2" t="s">
        <v>22</v>
      </c>
      <c r="B25" s="6">
        <f>B23</f>
        <v>7325</v>
      </c>
      <c r="C25" s="6">
        <f>C23</f>
        <v>8025</v>
      </c>
      <c r="D25" s="6">
        <f>D23</f>
        <v>8745</v>
      </c>
      <c r="E25" s="6">
        <f>VLOOKUP(K26,O:X,10,0)</f>
        <v>1533</v>
      </c>
      <c r="F25" s="6">
        <f>F23</f>
        <v>109250</v>
      </c>
      <c r="G25" s="5">
        <v>0</v>
      </c>
      <c r="H25" s="7">
        <v>0</v>
      </c>
      <c r="I25" s="6">
        <v>750</v>
      </c>
      <c r="J25" s="6">
        <v>5250</v>
      </c>
      <c r="K25" s="6">
        <v>5000</v>
      </c>
      <c r="L25" s="6">
        <v>2.5e-5</v>
      </c>
      <c r="N25" s="22"/>
      <c r="O25" s="22"/>
    </row>
    <row r="26" ht="21" spans="1:23">
      <c r="A26" s="3" t="s">
        <v>61</v>
      </c>
      <c r="B26" s="3" t="s">
        <v>62</v>
      </c>
      <c r="C26" s="8">
        <f>E23*((C23+J23)/I23+1)*(F23+K23)*L23</f>
        <v>8601.66512755316</v>
      </c>
      <c r="D26" s="8" t="s">
        <v>24</v>
      </c>
      <c r="E26" s="8">
        <f>(E23+G23)*(C23/I23+1)*(1+H23)</f>
        <v>1561.67741935484</v>
      </c>
      <c r="F26" s="8" t="s">
        <v>25</v>
      </c>
      <c r="G26" s="8">
        <f t="shared" ref="G26:G31" si="0">(E26+C26)*1.08</f>
        <v>10976.4099506606</v>
      </c>
      <c r="H26" s="28" t="s">
        <v>26</v>
      </c>
      <c r="I26" s="61">
        <v>35</v>
      </c>
      <c r="J26" s="30" t="s">
        <v>27</v>
      </c>
      <c r="K26" s="61">
        <v>38</v>
      </c>
      <c r="L26" s="8"/>
      <c r="O26" s="62" t="s">
        <v>63</v>
      </c>
      <c r="P26" s="62"/>
      <c r="Q26" s="62"/>
      <c r="R26" s="62"/>
      <c r="S26" s="62"/>
      <c r="T26" s="62"/>
      <c r="U26" s="62"/>
      <c r="V26" s="62"/>
      <c r="W26" s="62"/>
    </row>
    <row r="27" ht="21" spans="1:23">
      <c r="A27" s="2"/>
      <c r="B27" s="2" t="s">
        <v>29</v>
      </c>
      <c r="C27" s="8">
        <f>E24*((C24+J24)/I24+1)*(F24+K24)*L24</f>
        <v>47646.4784026229</v>
      </c>
      <c r="D27" s="8" t="s">
        <v>30</v>
      </c>
      <c r="E27" s="8">
        <f>(E24+G24)*(C24/I24+1)*(1+H24)</f>
        <v>9556.58234322581</v>
      </c>
      <c r="F27" s="29" t="s">
        <v>38</v>
      </c>
      <c r="G27" s="8">
        <f t="shared" si="0"/>
        <v>61779.3056055166</v>
      </c>
      <c r="H27" s="30" t="s">
        <v>64</v>
      </c>
      <c r="I27" s="5">
        <v>52</v>
      </c>
      <c r="J27" s="30" t="s">
        <v>28</v>
      </c>
      <c r="K27" s="45">
        <v>200</v>
      </c>
      <c r="L27" s="8"/>
      <c r="O27" s="62" t="s">
        <v>65</v>
      </c>
      <c r="P27" s="62"/>
      <c r="Q27" s="62"/>
      <c r="R27" s="62"/>
      <c r="S27" s="62"/>
      <c r="T27" s="62"/>
      <c r="U27" s="62"/>
      <c r="V27" s="62"/>
      <c r="W27" s="62"/>
    </row>
    <row r="28" ht="21" spans="1:23">
      <c r="A28" s="2"/>
      <c r="B28" s="2" t="s">
        <v>35</v>
      </c>
      <c r="C28" s="8">
        <f>E25*((C25+J25)/I25+1)*(F25+K25)*L25</f>
        <v>81880.404375</v>
      </c>
      <c r="D28" s="8" t="s">
        <v>36</v>
      </c>
      <c r="E28" s="8">
        <f>(E25+G25)*(C25/I25+1)*(1+H25)</f>
        <v>17936.1</v>
      </c>
      <c r="F28" s="8" t="s">
        <v>37</v>
      </c>
      <c r="G28" s="8">
        <f>(E28+C28)*1.12</f>
        <v>111794.4849</v>
      </c>
      <c r="H28" s="2"/>
      <c r="I28" s="2"/>
      <c r="J28" s="8"/>
      <c r="K28" s="8"/>
      <c r="L28" s="8"/>
      <c r="O28" s="62" t="s">
        <v>66</v>
      </c>
      <c r="P28" s="62"/>
      <c r="Q28" s="62"/>
      <c r="R28" s="62"/>
      <c r="S28" s="62"/>
      <c r="T28" s="62"/>
      <c r="U28" s="62"/>
      <c r="V28" s="62"/>
      <c r="W28" s="62"/>
    </row>
    <row r="29" ht="21.75" spans="1:23">
      <c r="A29" s="3" t="s">
        <v>67</v>
      </c>
      <c r="B29" s="3" t="s">
        <v>62</v>
      </c>
      <c r="C29" s="8">
        <f>E23*((D23+J23)/I23+1)*(F23+K23)*L23</f>
        <v>9078.43178589329</v>
      </c>
      <c r="D29" s="8" t="s">
        <v>24</v>
      </c>
      <c r="E29" s="8">
        <f>(E23+G23)*(D23/I23+1)*(1+H23)</f>
        <v>1691.74193548387</v>
      </c>
      <c r="F29" s="8" t="s">
        <v>25</v>
      </c>
      <c r="G29" s="8">
        <f t="shared" si="0"/>
        <v>11631.7876190873</v>
      </c>
      <c r="H29" s="31"/>
      <c r="I29" s="31"/>
      <c r="J29" s="31"/>
      <c r="K29" s="31"/>
      <c r="L29" s="8"/>
      <c r="O29" s="62" t="s">
        <v>68</v>
      </c>
      <c r="P29" s="62"/>
      <c r="Q29" s="62"/>
      <c r="R29" s="62"/>
      <c r="S29" s="62"/>
      <c r="T29" s="62"/>
      <c r="U29" s="62"/>
      <c r="V29" s="62"/>
      <c r="W29" s="62"/>
    </row>
    <row r="30" ht="21" spans="1:23">
      <c r="A30" s="2"/>
      <c r="B30" s="2" t="s">
        <v>29</v>
      </c>
      <c r="C30" s="8">
        <f>E24*((D24+J24)/I24+1)*(F24+K24)*L24</f>
        <v>50287.3917551932</v>
      </c>
      <c r="D30" s="8" t="s">
        <v>30</v>
      </c>
      <c r="E30" s="8">
        <f>(E24+G24)*(D24/I24+1)*(1+H24)</f>
        <v>10352.5036025806</v>
      </c>
      <c r="F30" s="29" t="s">
        <v>38</v>
      </c>
      <c r="G30" s="12">
        <f t="shared" si="0"/>
        <v>65491.0869863958</v>
      </c>
      <c r="H30" s="13" t="s">
        <v>32</v>
      </c>
      <c r="I30" s="52" t="s">
        <v>47</v>
      </c>
      <c r="J30" s="14" t="s">
        <v>48</v>
      </c>
      <c r="K30" s="63"/>
      <c r="L30" s="48"/>
      <c r="O30" s="62"/>
      <c r="P30" s="62"/>
      <c r="Q30" s="62"/>
      <c r="R30" s="62"/>
      <c r="S30" s="62"/>
      <c r="T30" s="62"/>
      <c r="U30" s="62"/>
      <c r="V30" s="62"/>
      <c r="W30" s="62"/>
    </row>
    <row r="31" ht="21.75" spans="1:23">
      <c r="A31" s="2"/>
      <c r="B31" s="2" t="s">
        <v>35</v>
      </c>
      <c r="C31" s="8">
        <f>E25*((D25+J25)/I25+1)*(F25+K25)*L25</f>
        <v>86083.890375</v>
      </c>
      <c r="D31" s="8" t="s">
        <v>36</v>
      </c>
      <c r="E31" s="8">
        <f>(E25+G25)*(D25/I25+1)*(1+H25)</f>
        <v>19407.78</v>
      </c>
      <c r="F31" s="8" t="s">
        <v>37</v>
      </c>
      <c r="G31" s="12">
        <f>(E31+C31)*1.12</f>
        <v>118150.67082</v>
      </c>
      <c r="H31" s="32">
        <v>5500</v>
      </c>
      <c r="I31" s="64">
        <f>(H31-275-691)*3.061+3684+H31</f>
        <v>23062.574</v>
      </c>
      <c r="J31" s="49">
        <v>3350</v>
      </c>
      <c r="K31" s="50"/>
      <c r="L31" s="48"/>
      <c r="O31" s="62"/>
      <c r="P31" s="62"/>
      <c r="Q31" s="62"/>
      <c r="R31" s="62"/>
      <c r="S31" s="62"/>
      <c r="T31" s="62"/>
      <c r="U31" s="62"/>
      <c r="V31" s="62"/>
      <c r="W31" s="62"/>
    </row>
    <row r="32" ht="21" spans="1:23">
      <c r="A32" s="33" t="s">
        <v>69</v>
      </c>
      <c r="B32" s="34"/>
      <c r="C32" s="35">
        <f>G28+G27+359</f>
        <v>173932.790505517</v>
      </c>
      <c r="D32" s="33" t="s">
        <v>70</v>
      </c>
      <c r="E32" s="34"/>
      <c r="F32" s="35">
        <f>G26+I27</f>
        <v>11028.4099506606</v>
      </c>
      <c r="G32" s="33" t="s">
        <v>71</v>
      </c>
      <c r="H32" s="36"/>
      <c r="I32" s="65">
        <f>(C32/I31+1)*(F32/J31+1)*1.135</f>
        <v>41.6111909858618</v>
      </c>
      <c r="J32" s="66" t="s">
        <v>72</v>
      </c>
      <c r="K32" s="36"/>
      <c r="L32" s="57">
        <f>((G27+359)/I31+1)*(F32/J31+1)*113.5%</f>
        <v>17.9969213099392</v>
      </c>
      <c r="O32" s="62"/>
      <c r="P32" s="62"/>
      <c r="Q32" s="62"/>
      <c r="R32" s="62"/>
      <c r="S32" s="62"/>
      <c r="T32" s="62"/>
      <c r="U32" s="62"/>
      <c r="V32" s="62"/>
      <c r="W32" s="62"/>
    </row>
    <row r="33" ht="21" spans="1:23">
      <c r="A33" s="33" t="s">
        <v>73</v>
      </c>
      <c r="B33" s="34"/>
      <c r="C33" s="35">
        <f>G31+G30+359</f>
        <v>184000.757806396</v>
      </c>
      <c r="D33" s="33" t="s">
        <v>74</v>
      </c>
      <c r="E33" s="34"/>
      <c r="F33" s="35">
        <f>G29+I27</f>
        <v>11683.7876190873</v>
      </c>
      <c r="G33" s="33" t="s">
        <v>75</v>
      </c>
      <c r="H33" s="34"/>
      <c r="I33" s="57">
        <f>(C33/I31+1)*(F33/J31+1)*1.135</f>
        <v>45.731440981166</v>
      </c>
      <c r="J33" s="33" t="s">
        <v>76</v>
      </c>
      <c r="K33" s="34"/>
      <c r="L33" s="57">
        <f>((G30+359)/I31+1)*(F33/J31+1)*113.5%</f>
        <v>19.6370070591716</v>
      </c>
      <c r="O33" s="62"/>
      <c r="P33" s="62"/>
      <c r="Q33" s="62"/>
      <c r="R33" s="62"/>
      <c r="S33" s="62"/>
      <c r="T33" s="62"/>
      <c r="U33" s="62"/>
      <c r="V33" s="62"/>
      <c r="W33" s="62"/>
    </row>
    <row r="34" ht="21" spans="15:23">
      <c r="O34" s="62"/>
      <c r="P34" s="62"/>
      <c r="Q34" s="62"/>
      <c r="R34" s="62"/>
      <c r="S34" s="62"/>
      <c r="T34" s="62"/>
      <c r="U34" s="62"/>
      <c r="V34" s="62"/>
      <c r="W34" s="62"/>
    </row>
    <row r="35" ht="21" spans="15:23">
      <c r="O35" s="62" t="s">
        <v>77</v>
      </c>
      <c r="P35" s="62"/>
      <c r="Q35" s="62"/>
      <c r="R35" s="62"/>
      <c r="S35" s="62"/>
      <c r="T35" s="62"/>
      <c r="U35" s="62"/>
      <c r="V35" s="62"/>
      <c r="W35" s="62"/>
    </row>
    <row r="36" ht="21" spans="1:23">
      <c r="A36" s="37" t="s">
        <v>78</v>
      </c>
      <c r="B36" s="3" t="s">
        <v>79</v>
      </c>
      <c r="C36" s="3" t="s">
        <v>80</v>
      </c>
      <c r="D36" s="3" t="s">
        <v>3</v>
      </c>
      <c r="E36" s="4" t="s">
        <v>4</v>
      </c>
      <c r="F36" s="2" t="s">
        <v>5</v>
      </c>
      <c r="G36" s="2" t="s">
        <v>6</v>
      </c>
      <c r="H36" s="2" t="s">
        <v>7</v>
      </c>
      <c r="I36" s="2" t="s">
        <v>8</v>
      </c>
      <c r="J36" s="2" t="s">
        <v>9</v>
      </c>
      <c r="K36" s="2" t="s">
        <v>10</v>
      </c>
      <c r="L36" s="8"/>
      <c r="O36" s="62"/>
      <c r="P36" s="62"/>
      <c r="Q36" s="62"/>
      <c r="R36" s="62"/>
      <c r="S36" s="62"/>
      <c r="T36" s="62"/>
      <c r="U36" s="62"/>
      <c r="V36" s="62"/>
      <c r="W36" s="62"/>
    </row>
    <row r="37" ht="21" spans="1:23">
      <c r="A37" s="2" t="s">
        <v>17</v>
      </c>
      <c r="B37" s="5">
        <v>7577</v>
      </c>
      <c r="C37" s="6">
        <f>B37+169+462+L40+50</f>
        <v>8458</v>
      </c>
      <c r="D37" s="6">
        <f>VLOOKUP(H40,O:X,9,0)</f>
        <v>96</v>
      </c>
      <c r="E37" s="5">
        <v>109250</v>
      </c>
      <c r="F37" s="5">
        <v>10</v>
      </c>
      <c r="G37" s="7">
        <v>0</v>
      </c>
      <c r="H37" s="6">
        <v>665</v>
      </c>
      <c r="I37" s="6">
        <v>4350</v>
      </c>
      <c r="J37" s="6">
        <v>3500</v>
      </c>
      <c r="K37" s="6">
        <v>3.7886e-5</v>
      </c>
      <c r="L37" s="8"/>
      <c r="O37" s="62"/>
      <c r="P37" s="62"/>
      <c r="Q37" s="62"/>
      <c r="R37" s="62"/>
      <c r="S37" s="62"/>
      <c r="T37" s="62"/>
      <c r="U37" s="62"/>
      <c r="V37" s="62"/>
      <c r="W37" s="62"/>
    </row>
    <row r="38" ht="21" spans="1:23">
      <c r="A38" s="2" t="s">
        <v>21</v>
      </c>
      <c r="B38" s="6">
        <f>B37</f>
        <v>7577</v>
      </c>
      <c r="C38" s="6">
        <f>C37</f>
        <v>8458</v>
      </c>
      <c r="D38" s="6">
        <f>VLOOKUP(H40,O:X,8,0)</f>
        <v>539</v>
      </c>
      <c r="E38" s="6">
        <f>E37</f>
        <v>109250</v>
      </c>
      <c r="F38" s="5">
        <v>0</v>
      </c>
      <c r="G38" s="7">
        <f>1.08*1.08*1.04-1</f>
        <v>0.213056</v>
      </c>
      <c r="H38" s="6">
        <v>665</v>
      </c>
      <c r="I38" s="6">
        <v>4350</v>
      </c>
      <c r="J38" s="6">
        <v>3500</v>
      </c>
      <c r="K38" s="6">
        <v>3.7886e-5</v>
      </c>
      <c r="L38" s="8"/>
      <c r="O38" s="62"/>
      <c r="P38" s="62"/>
      <c r="Q38" s="62"/>
      <c r="R38" s="62"/>
      <c r="S38" s="62"/>
      <c r="T38" s="62"/>
      <c r="U38" s="62"/>
      <c r="V38" s="62"/>
      <c r="W38" s="62"/>
    </row>
    <row r="39" ht="21" spans="1:23">
      <c r="A39" s="2" t="s">
        <v>22</v>
      </c>
      <c r="B39" s="6">
        <f>B37</f>
        <v>7577</v>
      </c>
      <c r="C39" s="6">
        <f>C37</f>
        <v>8458</v>
      </c>
      <c r="D39" s="6">
        <f>VLOOKUP(J40,O:X,10,0)</f>
        <v>1533</v>
      </c>
      <c r="E39" s="6">
        <f>E37</f>
        <v>109250</v>
      </c>
      <c r="F39" s="5">
        <v>0</v>
      </c>
      <c r="G39" s="7">
        <v>0</v>
      </c>
      <c r="H39" s="6">
        <v>750</v>
      </c>
      <c r="I39" s="6">
        <v>5250</v>
      </c>
      <c r="J39" s="6">
        <v>5000</v>
      </c>
      <c r="K39" s="6">
        <v>2.5e-5</v>
      </c>
      <c r="L39" s="8"/>
      <c r="O39" s="62" t="s">
        <v>81</v>
      </c>
      <c r="P39" s="62"/>
      <c r="Q39" s="62"/>
      <c r="R39" s="62"/>
      <c r="S39" s="62"/>
      <c r="T39" s="62"/>
      <c r="U39" s="62"/>
      <c r="V39" s="62"/>
      <c r="W39" s="62"/>
    </row>
    <row r="40" ht="16.25" spans="1:12">
      <c r="A40" s="2" t="s">
        <v>23</v>
      </c>
      <c r="B40" s="8">
        <f>D37*((C37+I37)/H37+1)*(E37+J37)*K37</f>
        <v>8308.24324251429</v>
      </c>
      <c r="C40" s="9" t="s">
        <v>24</v>
      </c>
      <c r="D40" s="8">
        <f t="shared" ref="D40:D42" si="1">(D37+F37)*(C37/H37+1)*(1+G37)</f>
        <v>1454.19248120301</v>
      </c>
      <c r="E40" s="2" t="s">
        <v>25</v>
      </c>
      <c r="F40" s="8">
        <f>(D40+B40)*1.08*1.1</f>
        <v>11597.7736397761</v>
      </c>
      <c r="G40" s="10" t="s">
        <v>26</v>
      </c>
      <c r="H40" s="11">
        <v>35</v>
      </c>
      <c r="I40" s="44" t="s">
        <v>27</v>
      </c>
      <c r="J40" s="11">
        <v>38</v>
      </c>
      <c r="K40" s="30" t="s">
        <v>28</v>
      </c>
      <c r="L40" s="45">
        <v>200</v>
      </c>
    </row>
    <row r="41" spans="1:12">
      <c r="A41" s="2" t="s">
        <v>29</v>
      </c>
      <c r="B41" s="8">
        <f>D38*((C38+I38)/H38+1)*(E38+J38)*K38</f>
        <v>46647.3240387</v>
      </c>
      <c r="C41" s="9" t="s">
        <v>30</v>
      </c>
      <c r="D41" s="8">
        <f t="shared" si="1"/>
        <v>8969.85959343158</v>
      </c>
      <c r="E41" s="2" t="s">
        <v>31</v>
      </c>
      <c r="F41" s="12">
        <f>(D41+B41)*1.08*1.1</f>
        <v>66073.2141549723</v>
      </c>
      <c r="G41" s="13" t="s">
        <v>32</v>
      </c>
      <c r="H41" s="14" t="s">
        <v>33</v>
      </c>
      <c r="I41" s="14" t="s">
        <v>34</v>
      </c>
      <c r="J41" s="53"/>
      <c r="K41" s="48"/>
      <c r="L41" s="8"/>
    </row>
    <row r="42" ht="16.25" spans="1:12">
      <c r="A42" s="2" t="s">
        <v>35</v>
      </c>
      <c r="B42" s="8">
        <f>D39*((C39+I39)/H39+1)*(E39+J39)*K39</f>
        <v>84408.33415</v>
      </c>
      <c r="C42" s="9" t="s">
        <v>36</v>
      </c>
      <c r="D42" s="8">
        <f t="shared" si="1"/>
        <v>18821.152</v>
      </c>
      <c r="E42" s="2" t="s">
        <v>37</v>
      </c>
      <c r="F42" s="12">
        <f>1.12*(B42+D42)</f>
        <v>115617.024488</v>
      </c>
      <c r="G42" s="15">
        <v>5500</v>
      </c>
      <c r="H42" s="16">
        <f>(G42-275-691)*3.061+3684+G42</f>
        <v>23062.574</v>
      </c>
      <c r="I42" s="49">
        <v>3350</v>
      </c>
      <c r="J42" s="50"/>
      <c r="K42" s="48"/>
      <c r="L42" s="8"/>
    </row>
    <row r="43" spans="1:12">
      <c r="A43" s="17" t="s">
        <v>38</v>
      </c>
      <c r="B43" s="18">
        <f>F42+F41+554</f>
        <v>182244.238642972</v>
      </c>
      <c r="C43" s="17" t="s">
        <v>39</v>
      </c>
      <c r="D43" s="18">
        <f>F40</f>
        <v>11597.7736397761</v>
      </c>
      <c r="E43" s="17" t="s">
        <v>40</v>
      </c>
      <c r="F43" s="19">
        <f>(B43/H42+1)*(D43/I42+1)*1.165</f>
        <v>46.2757231867891</v>
      </c>
      <c r="G43" s="20" t="s">
        <v>41</v>
      </c>
      <c r="H43" s="21">
        <f>((F41+554+306)/H42+1)*(F40/I42+1)*116.5%</f>
        <v>20.2848611160248</v>
      </c>
      <c r="I43" s="21"/>
      <c r="J43" s="21"/>
      <c r="K43" s="21"/>
      <c r="L43" s="21"/>
    </row>
  </sheetData>
  <sheetProtection password="CB05" sheet="1" objects="1"/>
  <mergeCells count="28">
    <mergeCell ref="P1:Q1"/>
    <mergeCell ref="R1:S1"/>
    <mergeCell ref="T1:U1"/>
    <mergeCell ref="V1:W1"/>
    <mergeCell ref="I6:J6"/>
    <mergeCell ref="I7:J7"/>
    <mergeCell ref="K16:L16"/>
    <mergeCell ref="K17:L17"/>
    <mergeCell ref="A18:B18"/>
    <mergeCell ref="D18:E18"/>
    <mergeCell ref="G18:H18"/>
    <mergeCell ref="J18:K18"/>
    <mergeCell ref="A19:B19"/>
    <mergeCell ref="D19:E19"/>
    <mergeCell ref="G19:H19"/>
    <mergeCell ref="J19:K19"/>
    <mergeCell ref="J31:K31"/>
    <mergeCell ref="A32:B32"/>
    <mergeCell ref="D32:E32"/>
    <mergeCell ref="G32:H32"/>
    <mergeCell ref="J32:K32"/>
    <mergeCell ref="A33:B33"/>
    <mergeCell ref="D33:E33"/>
    <mergeCell ref="G33:H33"/>
    <mergeCell ref="J33:K33"/>
    <mergeCell ref="I41:J41"/>
    <mergeCell ref="I42:J42"/>
    <mergeCell ref="X1:X2"/>
  </mergeCells>
  <dataValidations count="4">
    <dataValidation type="list" allowBlank="1" showInputMessage="1" showErrorMessage="1" sqref="H5 J15 I26 H40">
      <formula1>$O$14:$O$22</formula1>
    </dataValidation>
    <dataValidation type="list" allowBlank="1" showInputMessage="1" showErrorMessage="1" sqref="J5 L15 K26 J40">
      <formula1>$O$19:$O$23</formula1>
    </dataValidation>
    <dataValidation type="list" allowBlank="1" showInputMessage="1" showErrorMessage="1" sqref="D12">
      <formula1>"76,77,78,80,81,82,84,85"</formula1>
    </dataValidation>
    <dataValidation allowBlank="1" showInputMessage="1" showErrorMessage="1" sqref="E23:E25"/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奶量计算器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11599</cp:lastModifiedBy>
  <dcterms:created xsi:type="dcterms:W3CDTF">2023-05-01T02:56:00Z</dcterms:created>
  <dcterms:modified xsi:type="dcterms:W3CDTF">2023-05-01T05:42:51Z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B645B01536F54732A53894A6B19A689D_12</vt:lpwstr>
  </property>
</Properties>
</file>