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ы\Documents\ип\"/>
    </mc:Choice>
  </mc:AlternateContent>
  <xr:revisionPtr revIDLastSave="0" documentId="13_ncr:1_{5E26D141-EE6B-4E2E-B7DA-61B4C9B99E7E}" xr6:coauthVersionLast="47" xr6:coauthVersionMax="47" xr10:uidLastSave="{00000000-0000-0000-0000-000000000000}"/>
  <bookViews>
    <workbookView xWindow="-120" yWindow="-120" windowWidth="24240" windowHeight="13140" xr2:uid="{7F46C52D-2E51-44CE-A4CD-179F7F8C3B28}"/>
  </bookViews>
  <sheets>
    <sheet name="Экономика" sheetId="3" r:id="rId1"/>
    <sheet name="Визуализация" sheetId="4" r:id="rId2"/>
    <sheet name="Затраты" sheetId="1" r:id="rId3"/>
    <sheet name="Выручка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F3" i="1"/>
  <c r="F4" i="1"/>
  <c r="F5" i="1"/>
  <c r="F6" i="1"/>
  <c r="F7" i="1"/>
  <c r="F8" i="1"/>
  <c r="F9" i="1"/>
  <c r="F10" i="1"/>
  <c r="F11" i="1"/>
  <c r="F12" i="1"/>
  <c r="F13" i="1"/>
  <c r="F2" i="1"/>
  <c r="D3" i="2"/>
  <c r="D4" i="2"/>
  <c r="D5" i="2"/>
  <c r="D6" i="2"/>
  <c r="D7" i="2"/>
  <c r="D8" i="2"/>
  <c r="D9" i="2"/>
  <c r="D10" i="2"/>
  <c r="D11" i="2"/>
  <c r="D12" i="2"/>
  <c r="D13" i="2"/>
  <c r="D2" i="2"/>
  <c r="C3" i="1"/>
  <c r="C4" i="1"/>
  <c r="C5" i="1"/>
  <c r="C6" i="1"/>
  <c r="C7" i="1"/>
  <c r="C8" i="1"/>
  <c r="C9" i="1"/>
  <c r="C10" i="1"/>
  <c r="C11" i="1"/>
  <c r="C12" i="1"/>
  <c r="C13" i="1"/>
  <c r="C2" i="1"/>
  <c r="C5" i="2"/>
  <c r="C6" i="2"/>
  <c r="C7" i="2"/>
  <c r="C8" i="2"/>
  <c r="C9" i="2"/>
  <c r="C10" i="2"/>
  <c r="C11" i="2"/>
  <c r="C12" i="2"/>
  <c r="C4" i="2"/>
  <c r="C3" i="2"/>
  <c r="C13" i="2"/>
  <c r="C2" i="2"/>
  <c r="D3" i="1"/>
  <c r="D4" i="1"/>
  <c r="D5" i="1"/>
  <c r="D6" i="1"/>
  <c r="D7" i="1"/>
  <c r="D8" i="1"/>
  <c r="D9" i="1"/>
  <c r="D10" i="1"/>
  <c r="D11" i="1"/>
  <c r="D12" i="1"/>
  <c r="D13" i="1"/>
  <c r="D2" i="1"/>
  <c r="E11" i="1"/>
  <c r="E3" i="1"/>
  <c r="E4" i="1"/>
  <c r="E5" i="1"/>
  <c r="E6" i="1"/>
  <c r="E7" i="1"/>
  <c r="E8" i="1"/>
  <c r="E9" i="1"/>
  <c r="E10" i="1"/>
  <c r="E12" i="1"/>
  <c r="E13" i="1"/>
  <c r="E2" i="1"/>
  <c r="H11" i="1" l="1"/>
  <c r="C20" i="3" s="1"/>
  <c r="G20" i="3" s="1"/>
  <c r="H3" i="1"/>
  <c r="C12" i="3" s="1"/>
  <c r="G12" i="3" s="1"/>
  <c r="H2" i="1"/>
  <c r="C11" i="3" s="1"/>
  <c r="G11" i="3" s="1"/>
  <c r="H9" i="1"/>
  <c r="C18" i="3" s="1"/>
  <c r="G18" i="3" s="1"/>
  <c r="H13" i="1"/>
  <c r="C22" i="3" s="1"/>
  <c r="G22" i="3" s="1"/>
  <c r="H5" i="1"/>
  <c r="C14" i="3" s="1"/>
  <c r="G14" i="3" s="1"/>
  <c r="H7" i="1"/>
  <c r="C16" i="3" s="1"/>
  <c r="G16" i="3" s="1"/>
  <c r="H12" i="1"/>
  <c r="C21" i="3" s="1"/>
  <c r="G21" i="3" s="1"/>
  <c r="H8" i="1"/>
  <c r="C17" i="3" s="1"/>
  <c r="G17" i="3" s="1"/>
  <c r="H4" i="1"/>
  <c r="C13" i="3" s="1"/>
  <c r="G13" i="3" s="1"/>
  <c r="H10" i="1"/>
  <c r="C19" i="3" s="1"/>
  <c r="G19" i="3" s="1"/>
  <c r="H6" i="1"/>
  <c r="C15" i="3" s="1"/>
  <c r="E15" i="3" s="1"/>
  <c r="F15" i="3" s="1"/>
  <c r="B23" i="3"/>
  <c r="D23" i="3"/>
  <c r="B4" i="3" s="1"/>
  <c r="D4" i="3" s="1"/>
  <c r="E14" i="3"/>
  <c r="F14" i="3" s="1"/>
  <c r="E22" i="3"/>
  <c r="F22" i="3" s="1"/>
  <c r="E17" i="3"/>
  <c r="F17" i="3" s="1"/>
  <c r="E13" i="3"/>
  <c r="F13" i="3" s="1"/>
  <c r="E11" i="3" l="1"/>
  <c r="F11" i="3" s="1"/>
  <c r="G15" i="3"/>
  <c r="E18" i="3"/>
  <c r="F18" i="3" s="1"/>
  <c r="E19" i="3"/>
  <c r="F19" i="3" s="1"/>
  <c r="C23" i="3"/>
  <c r="E16" i="3"/>
  <c r="F16" i="3" s="1"/>
  <c r="E20" i="3"/>
  <c r="F20" i="3" s="1"/>
  <c r="E12" i="3"/>
  <c r="F12" i="3" s="1"/>
  <c r="B2" i="3" l="1"/>
  <c r="G23" i="3"/>
  <c r="D2" i="3" l="1"/>
  <c r="D6" i="3" s="1"/>
  <c r="B6" i="3"/>
  <c r="E21" i="3"/>
  <c r="F21" i="3" s="1"/>
  <c r="E23" i="3"/>
  <c r="F23" i="3" s="1"/>
</calcChain>
</file>

<file path=xl/sharedStrings.xml><?xml version="1.0" encoding="utf-8"?>
<sst xmlns="http://schemas.openxmlformats.org/spreadsheetml/2006/main" count="32" uniqueCount="26">
  <si>
    <t>Постоянные затраты</t>
  </si>
  <si>
    <t>Затраты на маркетинг</t>
  </si>
  <si>
    <t>ФОТ</t>
  </si>
  <si>
    <t>Количество отработанных часов</t>
  </si>
  <si>
    <t>Тех. Обслуживание</t>
  </si>
  <si>
    <t>ГСМ</t>
  </si>
  <si>
    <t>Цена ДТ</t>
  </si>
  <si>
    <t>Налоги(в год)</t>
  </si>
  <si>
    <t>Стоянка</t>
  </si>
  <si>
    <t>Страховка/ТО</t>
  </si>
  <si>
    <t>Реклама</t>
  </si>
  <si>
    <t>Продвижение</t>
  </si>
  <si>
    <t>Стоимость часа</t>
  </si>
  <si>
    <t>Выручка</t>
  </si>
  <si>
    <t>Всего</t>
  </si>
  <si>
    <t>Всего в час</t>
  </si>
  <si>
    <t>Затраты в час</t>
  </si>
  <si>
    <t>Выручка в час</t>
  </si>
  <si>
    <t>Маржинальность</t>
  </si>
  <si>
    <t xml:space="preserve">Маржинальность всего </t>
  </si>
  <si>
    <t>Изменение</t>
  </si>
  <si>
    <t>TO-BE</t>
  </si>
  <si>
    <t>AS-IS</t>
  </si>
  <si>
    <t>% Маржи</t>
  </si>
  <si>
    <t>Прибыль в час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</si>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</sst>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6" formatCode="[$-419]mmmm\ yyyy;@"/>
    <numFmt numFmtId="178" formatCode="_-* #,##0\ &quot;₽&quot;_-;\-* #,##0\ &quot;₽&quot;_-;_-* &quot;-&quot;??\ &quot;₽&quot;_-;_-@_-"/>
    <numFmt numFmtId="180" formatCode="#,##0\ &quot;₽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44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2" xfId="0" applyNumberFormat="1" applyBorder="1"/>
    <xf numFmtId="0" fontId="5" fillId="3" borderId="6" xfId="0" applyFont="1" applyFill="1" applyBorder="1"/>
    <xf numFmtId="0" fontId="5" fillId="3" borderId="5" xfId="0" applyFont="1" applyFill="1" applyBorder="1"/>
    <xf numFmtId="2" fontId="5" fillId="0" borderId="6" xfId="0" applyNumberFormat="1" applyFont="1" applyBorder="1"/>
    <xf numFmtId="2" fontId="5" fillId="0" borderId="5" xfId="0" applyNumberFormat="1" applyFont="1" applyBorder="1"/>
    <xf numFmtId="10" fontId="5" fillId="0" borderId="7" xfId="0" applyNumberFormat="1" applyFont="1" applyBorder="1"/>
    <xf numFmtId="0" fontId="4" fillId="3" borderId="9" xfId="0" applyFont="1" applyFill="1" applyBorder="1"/>
    <xf numFmtId="0" fontId="4" fillId="0" borderId="10" xfId="0" applyFont="1" applyBorder="1"/>
    <xf numFmtId="0" fontId="4" fillId="3" borderId="10" xfId="0" applyFont="1" applyFill="1" applyBorder="1"/>
    <xf numFmtId="0" fontId="4" fillId="0" borderId="11" xfId="0" applyFont="1" applyBorder="1"/>
    <xf numFmtId="10" fontId="0" fillId="0" borderId="1" xfId="2" applyNumberFormat="1" applyFont="1" applyBorder="1"/>
    <xf numFmtId="0" fontId="6" fillId="2" borderId="1" xfId="3" applyFont="1" applyBorder="1" applyAlignment="1">
      <alignment horizontal="center" vertical="center" wrapText="1"/>
    </xf>
    <xf numFmtId="0" fontId="6" fillId="2" borderId="1" xfId="3" applyFont="1" applyBorder="1"/>
    <xf numFmtId="1" fontId="6" fillId="2" borderId="1" xfId="3" applyNumberFormat="1" applyFont="1" applyBorder="1"/>
    <xf numFmtId="44" fontId="6" fillId="2" borderId="1" xfId="3" applyNumberFormat="1" applyFont="1" applyBorder="1"/>
    <xf numFmtId="10" fontId="7" fillId="2" borderId="1" xfId="3" applyNumberFormat="1" applyFont="1" applyBorder="1"/>
    <xf numFmtId="178" fontId="0" fillId="4" borderId="2" xfId="0" applyNumberFormat="1" applyFill="1" applyBorder="1"/>
    <xf numFmtId="180" fontId="5" fillId="4" borderId="6" xfId="0" applyNumberFormat="1" applyFont="1" applyFill="1" applyBorder="1"/>
    <xf numFmtId="178" fontId="5" fillId="4" borderId="5" xfId="1" applyNumberFormat="1" applyFont="1" applyFill="1" applyBorder="1"/>
    <xf numFmtId="178" fontId="5" fillId="4" borderId="5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0" fontId="5" fillId="0" borderId="8" xfId="2" applyNumberFormat="1" applyFont="1" applyBorder="1"/>
    <xf numFmtId="0" fontId="4" fillId="0" borderId="0" xfId="0" applyFont="1" applyBorder="1"/>
    <xf numFmtId="10" fontId="5" fillId="0" borderId="0" xfId="0" applyNumberFormat="1" applyFont="1" applyBorder="1"/>
    <xf numFmtId="10" fontId="5" fillId="0" borderId="0" xfId="2" applyNumberFormat="1" applyFont="1" applyBorder="1"/>
  </cellXfs>
  <cellStyles count="4">
    <cellStyle name="Денежный" xfId="1" builtinId="4"/>
    <cellStyle name="Нейтральный" xfId="3" builtinId="28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Экономика!$D$1</c:f>
              <c:strCache>
                <c:ptCount val="1"/>
                <c:pt idx="0">
                  <c:v>TO-BE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22-47AB-B20D-813294876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2-47AB-B20D-8132948763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Экономика!$A$2:$A$6</c15:sqref>
                  </c15:fullRef>
                </c:ext>
              </c:extLst>
              <c:f>(Экономика!$A$2,Экономика!$A$4)</c:f>
              <c:strCache>
                <c:ptCount val="2"/>
                <c:pt idx="0">
                  <c:v>Затраты в час</c:v>
                </c:pt>
                <c:pt idx="1">
                  <c:v>Выручка в час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Экономика!$D$2:$D$6</c15:sqref>
                  </c15:fullRef>
                </c:ext>
              </c:extLst>
              <c:f>(Экономика!$D$2,Экономика!$D$4)</c:f>
              <c:numCache>
                <c:formatCode>General</c:formatCode>
                <c:ptCount val="2"/>
                <c:pt idx="0" formatCode="_-* #\ ##0\ &quot;₽&quot;_-;\-* #\ ##0\ &quot;₽&quot;_-;_-* &quot;-&quot;??\ &quot;₽&quot;_-;_-@_-">
                  <c:v>920.67324742268056</c:v>
                </c:pt>
                <c:pt idx="1" formatCode="_-* #\ ##0\ &quot;₽&quot;_-;\-* #\ ##0\ &quot;₽&quot;_-;_-* &quot;-&quot;??\ &quot;₽&quot;_-;_-@_-">
                  <c:v>1995.3680412371134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F22-47AB-B20D-8132948763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Маржиальность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Экономика!$A$11:$A$22</c:f>
              <c:numCache>
                <c:formatCode>[$-419]mmmm\ yyyy;@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Экономика!$G$11:$G$22</c:f>
              <c:numCache>
                <c:formatCode>0.00%</c:formatCode>
                <c:ptCount val="12"/>
                <c:pt idx="0">
                  <c:v>-0.41467440361057384</c:v>
                </c:pt>
                <c:pt idx="1">
                  <c:v>1.8513862024500338E-2</c:v>
                </c:pt>
                <c:pt idx="2">
                  <c:v>8.0200945626477727E-2</c:v>
                </c:pt>
                <c:pt idx="3">
                  <c:v>0.23903664302600458</c:v>
                </c:pt>
                <c:pt idx="4">
                  <c:v>0.40895390070921978</c:v>
                </c:pt>
                <c:pt idx="5">
                  <c:v>0.38546099290780134</c:v>
                </c:pt>
                <c:pt idx="6">
                  <c:v>0.38546099290780134</c:v>
                </c:pt>
                <c:pt idx="7">
                  <c:v>0.38546099290780134</c:v>
                </c:pt>
                <c:pt idx="8">
                  <c:v>0.38546099290780134</c:v>
                </c:pt>
                <c:pt idx="9">
                  <c:v>0.40895390070921978</c:v>
                </c:pt>
                <c:pt idx="10">
                  <c:v>0.35059101654846325</c:v>
                </c:pt>
                <c:pt idx="11">
                  <c:v>0.40871910595314853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9-4B37-9B81-93903647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320096"/>
        <c:axId val="1556321056"/>
      </c:barChart>
      <c:dateAx>
        <c:axId val="155632009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321056"/>
        <c:crosses val="autoZero"/>
        <c:auto val="1"/>
        <c:lblOffset val="100"/>
        <c:baseTimeUnit val="months"/>
      </c:dateAx>
      <c:valAx>
        <c:axId val="1556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3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отработанных</a:t>
            </a:r>
            <a:r>
              <a:rPr lang="ru-RU" baseline="0"/>
              <a:t> часов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фев</c:v>
              </c:pt>
              <c:pt idx="1">
                <c:v>мар</c:v>
              </c:pt>
              <c:pt idx="2">
                <c:v>апр</c:v>
              </c:pt>
              <c:pt idx="3">
                <c:v>май</c:v>
              </c:pt>
              <c:pt idx="4">
                <c:v>июн</c:v>
              </c:pt>
              <c:pt idx="5">
                <c:v>июл</c:v>
              </c:pt>
              <c:pt idx="6">
                <c:v>авг</c:v>
              </c:pt>
              <c:pt idx="7">
                <c:v>сен</c:v>
              </c:pt>
              <c:pt idx="8">
                <c:v>окт</c:v>
              </c:pt>
              <c:pt idx="9">
                <c:v>ноя</c:v>
              </c:pt>
              <c:pt idx="10">
                <c:v>дек</c:v>
              </c:pt>
            </c:strLit>
          </c:cat>
          <c:val>
            <c:numLit>
              <c:formatCode>General</c:formatCode>
              <c:ptCount val="11"/>
              <c:pt idx="0">
                <c:v>32</c:v>
              </c:pt>
              <c:pt idx="1">
                <c:v>48</c:v>
              </c:pt>
              <c:pt idx="2">
                <c:v>96</c:v>
              </c:pt>
              <c:pt idx="3">
                <c:v>160</c:v>
              </c:pt>
              <c:pt idx="4">
                <c:v>200</c:v>
              </c:pt>
              <c:pt idx="5">
                <c:v>200</c:v>
              </c:pt>
              <c:pt idx="6">
                <c:v>200</c:v>
              </c:pt>
              <c:pt idx="7">
                <c:v>200</c:v>
              </c:pt>
              <c:pt idx="8">
                <c:v>160</c:v>
              </c:pt>
              <c:pt idx="9">
                <c:v>120</c:v>
              </c:pt>
              <c:pt idx="10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0-8ECC-494A-BECD-9BAC5542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9153888"/>
        <c:axId val="1479154848"/>
      </c:barChart>
      <c:catAx>
        <c:axId val="14791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154848"/>
        <c:crosses val="autoZero"/>
        <c:auto val="1"/>
        <c:lblAlgn val="ctr"/>
        <c:lblOffset val="100"/>
        <c:noMultiLvlLbl val="0"/>
      </c:catAx>
      <c:valAx>
        <c:axId val="14791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1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Выручка!$D$1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Выручка!$A$2:$A$13</c:f>
              <c:numCache>
                <c:formatCode>[$-419]mmmm\ yyyy;@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Выручка!$D$2:$D$13</c:f>
              <c:numCache>
                <c:formatCode>_("₽"* #,##0.00_);_("₽"* \(#,##0.00\);_("₽"* "-"??_);_(@_)</c:formatCode>
                <c:ptCount val="12"/>
                <c:pt idx="0">
                  <c:v>66176</c:v>
                </c:pt>
                <c:pt idx="1">
                  <c:v>66176</c:v>
                </c:pt>
                <c:pt idx="2">
                  <c:v>90240</c:v>
                </c:pt>
                <c:pt idx="3">
                  <c:v>180480</c:v>
                </c:pt>
                <c:pt idx="4">
                  <c:v>300800</c:v>
                </c:pt>
                <c:pt idx="5">
                  <c:v>376000</c:v>
                </c:pt>
                <c:pt idx="6">
                  <c:v>376000</c:v>
                </c:pt>
                <c:pt idx="7">
                  <c:v>376000</c:v>
                </c:pt>
                <c:pt idx="8">
                  <c:v>376000</c:v>
                </c:pt>
                <c:pt idx="9">
                  <c:v>300800</c:v>
                </c:pt>
                <c:pt idx="10">
                  <c:v>225600</c:v>
                </c:pt>
                <c:pt idx="11">
                  <c:v>248160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01-46A9-BE8B-2AB161F5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713712"/>
        <c:axId val="1305716112"/>
      </c:barChart>
      <c:dateAx>
        <c:axId val="13057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716112"/>
        <c:crosses val="autoZero"/>
        <c:auto val="1"/>
        <c:lblOffset val="100"/>
        <c:baseTimeUnit val="months"/>
      </c:dateAx>
      <c:valAx>
        <c:axId val="13057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7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Маржинальность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Экономика!$A$11:$A$22</c:f>
              <c:numCache>
                <c:formatCode>[$-419]mmmm\ yyyy;@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Экономика!$G$11:$G$22</c:f>
              <c:numCache>
                <c:formatCode>0.00%</c:formatCode>
                <c:ptCount val="12"/>
                <c:pt idx="0">
                  <c:v>-0.41467440361057384</c:v>
                </c:pt>
                <c:pt idx="1">
                  <c:v>1.8513862024500338E-2</c:v>
                </c:pt>
                <c:pt idx="2">
                  <c:v>8.0200945626477727E-2</c:v>
                </c:pt>
                <c:pt idx="3">
                  <c:v>0.23903664302600458</c:v>
                </c:pt>
                <c:pt idx="4">
                  <c:v>0.40895390070921978</c:v>
                </c:pt>
                <c:pt idx="5">
                  <c:v>0.38546099290780134</c:v>
                </c:pt>
                <c:pt idx="6">
                  <c:v>0.38546099290780134</c:v>
                </c:pt>
                <c:pt idx="7">
                  <c:v>0.38546099290780134</c:v>
                </c:pt>
                <c:pt idx="8">
                  <c:v>0.38546099290780134</c:v>
                </c:pt>
                <c:pt idx="9">
                  <c:v>0.40895390070921978</c:v>
                </c:pt>
                <c:pt idx="10">
                  <c:v>0.35059101654846325</c:v>
                </c:pt>
                <c:pt idx="11">
                  <c:v>0.40871910595314853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884-9C74-6CDC11D8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707632"/>
        <c:axId val="1430704272"/>
      </c:lineChart>
      <c:dateAx>
        <c:axId val="1430707632"/>
        <c:scaling>
          <c:orientation val="minMax"/>
        </c:scaling>
        <c:delete val="0"/>
        <c:axPos val="b"/>
        <c:numFmt formatCode="[$-41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704272"/>
        <c:crosses val="autoZero"/>
        <c:auto val="1"/>
        <c:lblOffset val="100"/>
        <c:baseTimeUnit val="months"/>
      </c:dateAx>
      <c:valAx>
        <c:axId val="1430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9</xdr:row>
      <xdr:rowOff>0</xdr:rowOff>
    </xdr:from>
    <xdr:to>
      <xdr:col>15</xdr:col>
      <xdr:colOff>28574</xdr:colOff>
      <xdr:row>23</xdr:row>
      <xdr:rowOff>38101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A448340-D0AA-9024-C00F-A6AB49B8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0</xdr:row>
      <xdr:rowOff>47626</xdr:rowOff>
    </xdr:from>
    <xdr:to>
      <xdr:col>16</xdr:col>
      <xdr:colOff>19050</xdr:colOff>
      <xdr:row>7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6B07F70-7893-191C-1B8D-D3DFCFA35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71437</xdr:rowOff>
    </xdr:from>
    <xdr:to>
      <xdr:col>5</xdr:col>
      <xdr:colOff>447675</xdr:colOff>
      <xdr:row>14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6E8760-4423-012B-0FE5-C6C30127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0</xdr:row>
      <xdr:rowOff>166687</xdr:rowOff>
    </xdr:from>
    <xdr:to>
      <xdr:col>18</xdr:col>
      <xdr:colOff>219075</xdr:colOff>
      <xdr:row>15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788792-2019-268C-CDEE-F4BDB283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166686</xdr:rowOff>
    </xdr:from>
    <xdr:to>
      <xdr:col>7</xdr:col>
      <xdr:colOff>285750</xdr:colOff>
      <xdr:row>31</xdr:row>
      <xdr:rowOff>57149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AE18AC-380E-5B52-EABC-913FEC1B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52;&#1099;\Downloads\&#1059;&#1095;&#1077;&#1073;&#1072;\&#1059;&#1088;&#1086;&#1082;%207.%20&#1050;&#1072;&#1083;&#1100;&#1082;&#1091;&#1083;&#1103;&#1090;&#1086;&#1088;\02.%20&#1070;&#1085;&#1080;&#1090;-&#1101;&#1082;&#1086;&#1085;&#1086;&#1084;&#1080;&#1082;&#1072;%20&#1086;&#1085;&#1083;&#1072;&#1081;&#1085;-&#1082;&#1080;&#1085;&#1086;&#1090;&#1077;&#1072;&#1090;&#1088;&#1072;.xlsx" TargetMode="External"/><Relationship Id="rId1" Type="http://schemas.openxmlformats.org/officeDocument/2006/relationships/externalLinkPath" Target="/Users/&#1052;&#1099;/Downloads/&#1059;&#1095;&#1077;&#1073;&#1072;/&#1059;&#1088;&#1086;&#1082;%207.%20&#1050;&#1072;&#1083;&#1100;&#1082;&#1091;&#1083;&#1103;&#1090;&#1086;&#1088;/02.%20&#1070;&#1085;&#1080;&#1090;-&#1101;&#1082;&#1086;&#1085;&#1086;&#1084;&#1080;&#1082;&#1072;%20&#1086;&#1085;&#1083;&#1072;&#1081;&#1085;-&#1082;&#1080;&#1085;&#1086;&#1090;&#1077;&#1072;&#1090;&#1088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Юнит-экономика"/>
      <sheetName val="Визуализация"/>
      <sheetName val="Подписчики"/>
      <sheetName val="Просмотры"/>
      <sheetName val="Фильмы"/>
      <sheetName val="Финансы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C085-80E4-444E-B76D-6A38B95E6A93}">
  <sheetPr>
    <tabColor theme="7"/>
  </sheetPr>
  <dimension ref="A1:G23"/>
  <sheetViews>
    <sheetView tabSelected="1" workbookViewId="0">
      <selection activeCell="I16" sqref="I16"/>
    </sheetView>
  </sheetViews>
  <sheetFormatPr defaultRowHeight="15" x14ac:dyDescent="0.25"/>
  <cols>
    <col min="1" max="1" width="17.28515625" bestFit="1" customWidth="1"/>
    <col min="2" max="6" width="19.7109375" customWidth="1"/>
    <col min="7" max="7" width="10" bestFit="1" customWidth="1"/>
  </cols>
  <sheetData>
    <row r="1" spans="1:7" x14ac:dyDescent="0.25">
      <c r="A1" s="24"/>
      <c r="B1" s="38" t="s">
        <v>22</v>
      </c>
      <c r="C1" s="38" t="s">
        <v>20</v>
      </c>
      <c r="D1" s="39" t="s">
        <v>21</v>
      </c>
    </row>
    <row r="2" spans="1:7" x14ac:dyDescent="0.25">
      <c r="A2" s="25" t="s">
        <v>16</v>
      </c>
      <c r="B2" s="34">
        <f>C23</f>
        <v>1227.5643298969073</v>
      </c>
      <c r="C2" s="18">
        <v>-0.25</v>
      </c>
      <c r="D2" s="37">
        <f>B2*(1+C2)</f>
        <v>920.67324742268056</v>
      </c>
    </row>
    <row r="3" spans="1:7" x14ac:dyDescent="0.25">
      <c r="A3" s="26"/>
      <c r="B3" s="19"/>
      <c r="C3" s="19"/>
      <c r="D3" s="20"/>
    </row>
    <row r="4" spans="1:7" x14ac:dyDescent="0.25">
      <c r="A4" s="25" t="s">
        <v>17</v>
      </c>
      <c r="B4" s="35">
        <f>D23</f>
        <v>1900.3505154639174</v>
      </c>
      <c r="C4" s="18">
        <v>0.05</v>
      </c>
      <c r="D4" s="36">
        <f>B4*(1+C4)</f>
        <v>1995.3680412371134</v>
      </c>
    </row>
    <row r="5" spans="1:7" x14ac:dyDescent="0.25">
      <c r="A5" s="25"/>
      <c r="B5" s="21"/>
      <c r="C5" s="21"/>
      <c r="D5" s="22"/>
    </row>
    <row r="6" spans="1:7" ht="15.75" thickBot="1" x14ac:dyDescent="0.3">
      <c r="A6" s="27" t="s">
        <v>18</v>
      </c>
      <c r="B6" s="23">
        <f>1-B2/B4</f>
        <v>0.35403267980947617</v>
      </c>
      <c r="C6" s="23"/>
      <c r="D6" s="40">
        <f>1-D2/D4</f>
        <v>0.53859477129248301</v>
      </c>
    </row>
    <row r="7" spans="1:7" x14ac:dyDescent="0.25">
      <c r="A7" s="41"/>
      <c r="B7" s="42"/>
      <c r="C7" s="42"/>
      <c r="D7" s="43"/>
    </row>
    <row r="8" spans="1:7" x14ac:dyDescent="0.25">
      <c r="A8" s="41"/>
      <c r="B8" s="42"/>
      <c r="C8" s="42"/>
      <c r="D8" s="43"/>
    </row>
    <row r="10" spans="1:7" ht="30" x14ac:dyDescent="0.25">
      <c r="A10" s="4" t="s">
        <v>25</v>
      </c>
      <c r="B10" s="1" t="s">
        <v>3</v>
      </c>
      <c r="C10" s="1" t="s">
        <v>16</v>
      </c>
      <c r="D10" s="1" t="s">
        <v>17</v>
      </c>
      <c r="E10" s="2" t="s">
        <v>24</v>
      </c>
      <c r="F10" s="2" t="s">
        <v>19</v>
      </c>
      <c r="G10" s="2" t="s">
        <v>23</v>
      </c>
    </row>
    <row r="11" spans="1:7" x14ac:dyDescent="0.25">
      <c r="A11" s="14">
        <v>44562</v>
      </c>
      <c r="B11" s="16">
        <f>VLOOKUP(A11,Затраты!A:G,2,0)</f>
        <v>16</v>
      </c>
      <c r="C11" s="17">
        <f>VLOOKUP(A11,Затраты!A1:H13,8,0)</f>
        <v>2925.5466666666666</v>
      </c>
      <c r="D11" s="3">
        <f>VLOOKUP(A11,Выручка!A:D,3,0)</f>
        <v>2068</v>
      </c>
      <c r="E11" s="15">
        <f>D11-C11</f>
        <v>-857.54666666666662</v>
      </c>
      <c r="F11" s="3">
        <f>E11*B11</f>
        <v>-13720.746666666666</v>
      </c>
      <c r="G11" s="28">
        <f>1-C11/D11</f>
        <v>-0.41467440361057384</v>
      </c>
    </row>
    <row r="12" spans="1:7" x14ac:dyDescent="0.25">
      <c r="A12" s="14">
        <v>44593</v>
      </c>
      <c r="B12" s="16">
        <f>VLOOKUP(A12,Затраты!A:G,2,0)</f>
        <v>32</v>
      </c>
      <c r="C12" s="17">
        <f>VLOOKUP(A12,Затраты!A2:H14,8,0)</f>
        <v>2029.7133333333334</v>
      </c>
      <c r="D12" s="3">
        <f>VLOOKUP(A12,Выручка!A:D,3,0)</f>
        <v>2068</v>
      </c>
      <c r="E12" s="15">
        <f t="shared" ref="E12:E22" si="0">D12-C12</f>
        <v>38.286666666666633</v>
      </c>
      <c r="F12" s="3">
        <f t="shared" ref="F12:F22" si="1">E12*B12</f>
        <v>1225.1733333333323</v>
      </c>
      <c r="G12" s="28">
        <f t="shared" ref="G12:G22" si="2">1-C12/D12</f>
        <v>1.8513862024500338E-2</v>
      </c>
    </row>
    <row r="13" spans="1:7" x14ac:dyDescent="0.25">
      <c r="A13" s="14">
        <v>44621</v>
      </c>
      <c r="B13" s="16">
        <f>VLOOKUP(A13,Затраты!A:G,2,0)</f>
        <v>48</v>
      </c>
      <c r="C13" s="17">
        <f>VLOOKUP(A13,Затраты!A3:H15,8,0)</f>
        <v>1729.2222222222219</v>
      </c>
      <c r="D13" s="3">
        <f>VLOOKUP(A13,Выручка!A:D,3,0)</f>
        <v>1880</v>
      </c>
      <c r="E13" s="15">
        <f t="shared" si="0"/>
        <v>150.77777777777806</v>
      </c>
      <c r="F13" s="3">
        <f t="shared" si="1"/>
        <v>7237.3333333333467</v>
      </c>
      <c r="G13" s="28">
        <f t="shared" si="2"/>
        <v>8.0200945626477727E-2</v>
      </c>
    </row>
    <row r="14" spans="1:7" x14ac:dyDescent="0.25">
      <c r="A14" s="14">
        <v>44652</v>
      </c>
      <c r="B14" s="16">
        <f>VLOOKUP(A14,Затраты!A:G,2,0)</f>
        <v>96</v>
      </c>
      <c r="C14" s="17">
        <f>VLOOKUP(A14,Затраты!A4:H16,8,0)</f>
        <v>1430.6111111111113</v>
      </c>
      <c r="D14" s="3">
        <f>VLOOKUP(A14,Выручка!A:D,3,0)</f>
        <v>1880</v>
      </c>
      <c r="E14" s="15">
        <f t="shared" si="0"/>
        <v>449.38888888888869</v>
      </c>
      <c r="F14" s="3">
        <f t="shared" si="1"/>
        <v>43141.333333333314</v>
      </c>
      <c r="G14" s="28">
        <f t="shared" si="2"/>
        <v>0.23903664302600458</v>
      </c>
    </row>
    <row r="15" spans="1:7" x14ac:dyDescent="0.25">
      <c r="A15" s="14">
        <v>44682</v>
      </c>
      <c r="B15" s="16">
        <f>VLOOKUP(A15,Затраты!A:G,2,0)</f>
        <v>160</v>
      </c>
      <c r="C15" s="17">
        <f>VLOOKUP(A15,Затраты!A5:H17,8,0)</f>
        <v>1111.1666666666667</v>
      </c>
      <c r="D15" s="3">
        <f>VLOOKUP(A15,Выручка!A:D,3,0)</f>
        <v>1880</v>
      </c>
      <c r="E15" s="15">
        <f t="shared" si="0"/>
        <v>768.83333333333326</v>
      </c>
      <c r="F15" s="3">
        <f t="shared" si="1"/>
        <v>123013.33333333331</v>
      </c>
      <c r="G15" s="28">
        <f t="shared" si="2"/>
        <v>0.40895390070921978</v>
      </c>
    </row>
    <row r="16" spans="1:7" x14ac:dyDescent="0.25">
      <c r="A16" s="14">
        <v>44713</v>
      </c>
      <c r="B16" s="16">
        <f>VLOOKUP(A16,Затраты!A:G,2,0)</f>
        <v>200</v>
      </c>
      <c r="C16" s="17">
        <f>VLOOKUP(A16,Затраты!A6:H18,8,0)</f>
        <v>1155.3333333333335</v>
      </c>
      <c r="D16" s="3">
        <f>VLOOKUP(A16,Выручка!A:D,3,0)</f>
        <v>1880</v>
      </c>
      <c r="E16" s="15">
        <f t="shared" si="0"/>
        <v>724.66666666666652</v>
      </c>
      <c r="F16" s="3">
        <f t="shared" si="1"/>
        <v>144933.33333333331</v>
      </c>
      <c r="G16" s="28">
        <f t="shared" si="2"/>
        <v>0.38546099290780134</v>
      </c>
    </row>
    <row r="17" spans="1:7" x14ac:dyDescent="0.25">
      <c r="A17" s="14">
        <v>44743</v>
      </c>
      <c r="B17" s="16">
        <f>VLOOKUP(A17,Затраты!A:G,2,0)</f>
        <v>200</v>
      </c>
      <c r="C17" s="17">
        <f>VLOOKUP(A17,Затраты!A7:H19,8,0)</f>
        <v>1155.3333333333335</v>
      </c>
      <c r="D17" s="3">
        <f>VLOOKUP(A17,Выручка!A:D,3,0)</f>
        <v>1880</v>
      </c>
      <c r="E17" s="15">
        <f t="shared" si="0"/>
        <v>724.66666666666652</v>
      </c>
      <c r="F17" s="3">
        <f t="shared" si="1"/>
        <v>144933.33333333331</v>
      </c>
      <c r="G17" s="28">
        <f t="shared" si="2"/>
        <v>0.38546099290780134</v>
      </c>
    </row>
    <row r="18" spans="1:7" x14ac:dyDescent="0.25">
      <c r="A18" s="14">
        <v>44774</v>
      </c>
      <c r="B18" s="16">
        <f>VLOOKUP(A18,Затраты!A:G,2,0)</f>
        <v>200</v>
      </c>
      <c r="C18" s="17">
        <f>VLOOKUP(A18,Затраты!A8:H20,8,0)</f>
        <v>1155.3333333333335</v>
      </c>
      <c r="D18" s="3">
        <f>VLOOKUP(A18,Выручка!A:D,3,0)</f>
        <v>1880</v>
      </c>
      <c r="E18" s="15">
        <f t="shared" si="0"/>
        <v>724.66666666666652</v>
      </c>
      <c r="F18" s="3">
        <f t="shared" si="1"/>
        <v>144933.33333333331</v>
      </c>
      <c r="G18" s="28">
        <f t="shared" si="2"/>
        <v>0.38546099290780134</v>
      </c>
    </row>
    <row r="19" spans="1:7" x14ac:dyDescent="0.25">
      <c r="A19" s="14">
        <v>44805</v>
      </c>
      <c r="B19" s="16">
        <f>VLOOKUP(A19,Затраты!A:G,2,0)</f>
        <v>200</v>
      </c>
      <c r="C19" s="17">
        <f>VLOOKUP(A19,Затраты!A9:H21,8,0)</f>
        <v>1155.3333333333335</v>
      </c>
      <c r="D19" s="3">
        <f>VLOOKUP(A19,Выручка!A:D,3,0)</f>
        <v>1880</v>
      </c>
      <c r="E19" s="15">
        <f t="shared" si="0"/>
        <v>724.66666666666652</v>
      </c>
      <c r="F19" s="3">
        <f t="shared" si="1"/>
        <v>144933.33333333331</v>
      </c>
      <c r="G19" s="28">
        <f t="shared" si="2"/>
        <v>0.38546099290780134</v>
      </c>
    </row>
    <row r="20" spans="1:7" x14ac:dyDescent="0.25">
      <c r="A20" s="14">
        <v>44835</v>
      </c>
      <c r="B20" s="16">
        <f>VLOOKUP(A20,Затраты!A:G,2,0)</f>
        <v>160</v>
      </c>
      <c r="C20" s="17">
        <f>VLOOKUP(A20,Затраты!A10:H22,8,0)</f>
        <v>1111.1666666666667</v>
      </c>
      <c r="D20" s="3">
        <f>VLOOKUP(A20,Выручка!A:D,3,0)</f>
        <v>1880</v>
      </c>
      <c r="E20" s="15">
        <f t="shared" si="0"/>
        <v>768.83333333333326</v>
      </c>
      <c r="F20" s="3">
        <f t="shared" si="1"/>
        <v>123013.33333333331</v>
      </c>
      <c r="G20" s="28">
        <f t="shared" si="2"/>
        <v>0.40895390070921978</v>
      </c>
    </row>
    <row r="21" spans="1:7" x14ac:dyDescent="0.25">
      <c r="A21" s="14">
        <v>44866</v>
      </c>
      <c r="B21" s="16">
        <f>VLOOKUP(A21,Затраты!A:G,2,0)</f>
        <v>120</v>
      </c>
      <c r="C21" s="17">
        <f>VLOOKUP(A21,Затраты!A11:H23,8,0)</f>
        <v>1220.8888888888891</v>
      </c>
      <c r="D21" s="3">
        <f>VLOOKUP(A21,Выручка!A:D,3,0)</f>
        <v>1880</v>
      </c>
      <c r="E21" s="15">
        <f t="shared" si="0"/>
        <v>659.11111111111086</v>
      </c>
      <c r="F21" s="3">
        <f t="shared" si="1"/>
        <v>79093.333333333299</v>
      </c>
      <c r="G21" s="28">
        <f t="shared" si="2"/>
        <v>0.35059101654846325</v>
      </c>
    </row>
    <row r="22" spans="1:7" x14ac:dyDescent="0.25">
      <c r="A22" s="14">
        <v>44896</v>
      </c>
      <c r="B22" s="16">
        <f>VLOOKUP(A22,Затраты!A:G,2,0)</f>
        <v>120</v>
      </c>
      <c r="C22" s="17">
        <f>VLOOKUP(A22,Затраты!A12:H24,8,0)</f>
        <v>1222.7688888888888</v>
      </c>
      <c r="D22" s="3">
        <f>VLOOKUP(A22,Выручка!A:D,3,0)</f>
        <v>2068</v>
      </c>
      <c r="E22" s="15">
        <f t="shared" si="0"/>
        <v>845.2311111111112</v>
      </c>
      <c r="F22" s="3">
        <f t="shared" si="1"/>
        <v>101427.73333333334</v>
      </c>
      <c r="G22" s="28">
        <f t="shared" si="2"/>
        <v>0.40871910595314853</v>
      </c>
    </row>
    <row r="23" spans="1:7" ht="15.75" x14ac:dyDescent="0.25">
      <c r="A23" s="29" t="s">
        <v>14</v>
      </c>
      <c r="B23" s="30">
        <f>SUM(B11:B22)</f>
        <v>1552</v>
      </c>
      <c r="C23" s="31">
        <f>SUMPRODUCT(B11:B22,C11:C22)/SUM(B11:B22)</f>
        <v>1227.5643298969073</v>
      </c>
      <c r="D23" s="31">
        <f>SUMPRODUCT(B11:B22,D11:D22)/SUM(B11:B22)</f>
        <v>1900.3505154639174</v>
      </c>
      <c r="E23" s="31">
        <f>D23-C23</f>
        <v>672.78618556701008</v>
      </c>
      <c r="F23" s="32">
        <f>B23*E23</f>
        <v>1044164.1599999997</v>
      </c>
      <c r="G23" s="33">
        <f>1-C23/D23</f>
        <v>0.35403267980947617</v>
      </c>
    </row>
  </sheetData>
  <conditionalFormatting sqref="C2">
    <cfRule type="colorScale" priority="5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4">
    <cfRule type="colorScale" priority="4">
      <colorScale>
        <cfvo type="num" val="-0.15"/>
        <cfvo type="num" val="0"/>
        <cfvo type="num" val="0.15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1737-A6FD-4579-8F69-C638E7A6CD93}">
  <sheetPr>
    <tabColor theme="7" tint="0.39997558519241921"/>
  </sheetPr>
  <dimension ref="A1"/>
  <sheetViews>
    <sheetView workbookViewId="0">
      <selection activeCell="L31" sqref="L31"/>
    </sheetView>
  </sheetViews>
  <sheetFormatPr defaultRowHeight="15" x14ac:dyDescent="0.25"/>
  <cols>
    <col min="1" max="1" width="17.28515625" bestFit="1" customWidth="1"/>
    <col min="2" max="2" width="18.1406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4184-4E46-4BE7-B05C-B7BBD97FA283}">
  <dimension ref="A1:H22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2" max="5" width="25.28515625" customWidth="1"/>
    <col min="6" max="6" width="16" customWidth="1"/>
    <col min="7" max="7" width="12" customWidth="1"/>
    <col min="8" max="8" width="13.140625" bestFit="1" customWidth="1"/>
  </cols>
  <sheetData>
    <row r="1" spans="1:8" ht="42" customHeight="1" x14ac:dyDescent="0.25">
      <c r="A1" s="4" t="s">
        <v>25</v>
      </c>
      <c r="B1" s="1" t="s">
        <v>3</v>
      </c>
      <c r="C1" s="1" t="s">
        <v>0</v>
      </c>
      <c r="D1" s="1" t="s">
        <v>1</v>
      </c>
      <c r="E1" s="1" t="s">
        <v>2</v>
      </c>
      <c r="F1" s="2" t="s">
        <v>4</v>
      </c>
      <c r="G1" s="2" t="s">
        <v>5</v>
      </c>
      <c r="H1" s="2" t="s">
        <v>15</v>
      </c>
    </row>
    <row r="2" spans="1:8" x14ac:dyDescent="0.25">
      <c r="A2" s="14">
        <v>44562</v>
      </c>
      <c r="B2" s="12">
        <v>16</v>
      </c>
      <c r="C2" s="5">
        <f>$C$17/12+$C$18/12+$C$19+B2*Выручка!C2*0.01</f>
        <v>8997.5466666666671</v>
      </c>
      <c r="D2" s="5">
        <f>IF(B2&lt;160,$C$21,$C$21+$C$22)</f>
        <v>5000</v>
      </c>
      <c r="E2" s="5">
        <f>_xlfn.IFS(B2&lt;=120,B2*400+15000,B2&gt;=200,B2*400*1.2,B2&lt;200,B2*400)</f>
        <v>21400</v>
      </c>
      <c r="F2" s="5">
        <f>_xlfn.IFS(B2&lt;100,B2*400,B2&lt;160,B2*250,B2&lt;=200,B2*200)</f>
        <v>6400</v>
      </c>
      <c r="G2" s="5">
        <f>B2*5.8*$C$16</f>
        <v>5011.2</v>
      </c>
      <c r="H2" s="15">
        <f>SUM(C2:G2)/B2</f>
        <v>2925.5466666666666</v>
      </c>
    </row>
    <row r="3" spans="1:8" x14ac:dyDescent="0.25">
      <c r="A3" s="14">
        <v>44593</v>
      </c>
      <c r="B3" s="12">
        <v>32</v>
      </c>
      <c r="C3" s="5">
        <f>$C$17/12+$C$18/12+$C$19+B3*Выручка!C3*0.01</f>
        <v>9328.4266666666681</v>
      </c>
      <c r="D3" s="5">
        <f t="shared" ref="D3:D13" si="0">IF(B3&lt;160,$C$21,$C$21+$C$22)</f>
        <v>5000</v>
      </c>
      <c r="E3" s="5">
        <f t="shared" ref="E3:E13" si="1">_xlfn.IFS(B3&lt;=120,B3*400+15000,B3&gt;=200,B3*400*1.2,B3&lt;200,B3*400)</f>
        <v>27800</v>
      </c>
      <c r="F3" s="5">
        <f t="shared" ref="F3:F13" si="2">_xlfn.IFS(B3&lt;100,B3*400,B3&lt;160,B3*250,B3&lt;=200,B3*200)</f>
        <v>12800</v>
      </c>
      <c r="G3" s="5">
        <f t="shared" ref="G3:G13" si="3">B3*5.8*$C$16</f>
        <v>10022.4</v>
      </c>
      <c r="H3" s="15">
        <f t="shared" ref="H3:H13" si="4">SUM(C3:G3)/B3</f>
        <v>2029.7133333333334</v>
      </c>
    </row>
    <row r="4" spans="1:8" x14ac:dyDescent="0.25">
      <c r="A4" s="14">
        <v>44621</v>
      </c>
      <c r="B4" s="12">
        <v>48</v>
      </c>
      <c r="C4" s="5">
        <f>$C$17/12+$C$18/12+$C$19+B4*Выручка!C4*0.01</f>
        <v>9569.0666666666675</v>
      </c>
      <c r="D4" s="5">
        <f t="shared" si="0"/>
        <v>5000</v>
      </c>
      <c r="E4" s="5">
        <f t="shared" si="1"/>
        <v>34200</v>
      </c>
      <c r="F4" s="5">
        <f t="shared" si="2"/>
        <v>19200</v>
      </c>
      <c r="G4" s="5">
        <f t="shared" si="3"/>
        <v>15033.599999999999</v>
      </c>
      <c r="H4" s="15">
        <f t="shared" si="4"/>
        <v>1729.2222222222219</v>
      </c>
    </row>
    <row r="5" spans="1:8" x14ac:dyDescent="0.25">
      <c r="A5" s="14">
        <v>44652</v>
      </c>
      <c r="B5" s="12">
        <v>96</v>
      </c>
      <c r="C5" s="5">
        <f>$C$17/12+$C$18/12+$C$19+B5*Выручка!C5*0.01</f>
        <v>10471.466666666667</v>
      </c>
      <c r="D5" s="5">
        <f t="shared" si="0"/>
        <v>5000</v>
      </c>
      <c r="E5" s="5">
        <f t="shared" si="1"/>
        <v>53400</v>
      </c>
      <c r="F5" s="5">
        <f t="shared" si="2"/>
        <v>38400</v>
      </c>
      <c r="G5" s="5">
        <f t="shared" si="3"/>
        <v>30067.199999999997</v>
      </c>
      <c r="H5" s="15">
        <f t="shared" si="4"/>
        <v>1430.6111111111113</v>
      </c>
    </row>
    <row r="6" spans="1:8" x14ac:dyDescent="0.25">
      <c r="A6" s="14">
        <v>44682</v>
      </c>
      <c r="B6" s="12">
        <v>160</v>
      </c>
      <c r="C6" s="5">
        <f>$C$17/12+$C$18/12+$C$19+B6*Выручка!C6*0.01</f>
        <v>11674.666666666668</v>
      </c>
      <c r="D6" s="5">
        <f t="shared" si="0"/>
        <v>20000</v>
      </c>
      <c r="E6" s="5">
        <f t="shared" si="1"/>
        <v>64000</v>
      </c>
      <c r="F6" s="5">
        <f t="shared" si="2"/>
        <v>32000</v>
      </c>
      <c r="G6" s="5">
        <f t="shared" si="3"/>
        <v>50112</v>
      </c>
      <c r="H6" s="15">
        <f t="shared" si="4"/>
        <v>1111.1666666666667</v>
      </c>
    </row>
    <row r="7" spans="1:8" x14ac:dyDescent="0.25">
      <c r="A7" s="14">
        <v>44713</v>
      </c>
      <c r="B7" s="12">
        <v>200</v>
      </c>
      <c r="C7" s="5">
        <f>$C$17/12+$C$18/12+$C$19+B7*Выручка!C7*0.01</f>
        <v>12426.666666666668</v>
      </c>
      <c r="D7" s="5">
        <f t="shared" si="0"/>
        <v>20000</v>
      </c>
      <c r="E7" s="5">
        <f t="shared" si="1"/>
        <v>96000</v>
      </c>
      <c r="F7" s="5">
        <f t="shared" si="2"/>
        <v>40000</v>
      </c>
      <c r="G7" s="5">
        <f t="shared" si="3"/>
        <v>62640</v>
      </c>
      <c r="H7" s="15">
        <f t="shared" si="4"/>
        <v>1155.3333333333335</v>
      </c>
    </row>
    <row r="8" spans="1:8" x14ac:dyDescent="0.25">
      <c r="A8" s="14">
        <v>44743</v>
      </c>
      <c r="B8" s="12">
        <v>200</v>
      </c>
      <c r="C8" s="5">
        <f>$C$17/12+$C$18/12+$C$19+B8*Выручка!C8*0.01</f>
        <v>12426.666666666668</v>
      </c>
      <c r="D8" s="5">
        <f t="shared" si="0"/>
        <v>20000</v>
      </c>
      <c r="E8" s="5">
        <f t="shared" si="1"/>
        <v>96000</v>
      </c>
      <c r="F8" s="5">
        <f t="shared" si="2"/>
        <v>40000</v>
      </c>
      <c r="G8" s="5">
        <f t="shared" si="3"/>
        <v>62640</v>
      </c>
      <c r="H8" s="15">
        <f t="shared" si="4"/>
        <v>1155.3333333333335</v>
      </c>
    </row>
    <row r="9" spans="1:8" x14ac:dyDescent="0.25">
      <c r="A9" s="14">
        <v>44774</v>
      </c>
      <c r="B9" s="12">
        <v>200</v>
      </c>
      <c r="C9" s="5">
        <f>$C$17/12+$C$18/12+$C$19+B9*Выручка!C9*0.01</f>
        <v>12426.666666666668</v>
      </c>
      <c r="D9" s="5">
        <f t="shared" si="0"/>
        <v>20000</v>
      </c>
      <c r="E9" s="5">
        <f t="shared" si="1"/>
        <v>96000</v>
      </c>
      <c r="F9" s="5">
        <f t="shared" si="2"/>
        <v>40000</v>
      </c>
      <c r="G9" s="5">
        <f t="shared" si="3"/>
        <v>62640</v>
      </c>
      <c r="H9" s="15">
        <f t="shared" si="4"/>
        <v>1155.3333333333335</v>
      </c>
    </row>
    <row r="10" spans="1:8" x14ac:dyDescent="0.25">
      <c r="A10" s="14">
        <v>44805</v>
      </c>
      <c r="B10" s="12">
        <v>200</v>
      </c>
      <c r="C10" s="5">
        <f>$C$17/12+$C$18/12+$C$19+B10*Выручка!C10*0.01</f>
        <v>12426.666666666668</v>
      </c>
      <c r="D10" s="5">
        <f t="shared" si="0"/>
        <v>20000</v>
      </c>
      <c r="E10" s="5">
        <f t="shared" si="1"/>
        <v>96000</v>
      </c>
      <c r="F10" s="5">
        <f t="shared" si="2"/>
        <v>40000</v>
      </c>
      <c r="G10" s="5">
        <f t="shared" si="3"/>
        <v>62640</v>
      </c>
      <c r="H10" s="15">
        <f t="shared" si="4"/>
        <v>1155.3333333333335</v>
      </c>
    </row>
    <row r="11" spans="1:8" x14ac:dyDescent="0.25">
      <c r="A11" s="14">
        <v>44835</v>
      </c>
      <c r="B11" s="12">
        <v>160</v>
      </c>
      <c r="C11" s="5">
        <f>$C$17/12+$C$18/12+$C$19+B11*Выручка!C11*0.01</f>
        <v>11674.666666666668</v>
      </c>
      <c r="D11" s="5">
        <f t="shared" si="0"/>
        <v>20000</v>
      </c>
      <c r="E11" s="5">
        <f>_xlfn.IFS(B11&lt;=120,B11*400+15000,B11&gt;=200,B11*400*1.2,B11&lt;200,B11*400)</f>
        <v>64000</v>
      </c>
      <c r="F11" s="5">
        <f t="shared" si="2"/>
        <v>32000</v>
      </c>
      <c r="G11" s="5">
        <f t="shared" si="3"/>
        <v>50112</v>
      </c>
      <c r="H11" s="15">
        <f t="shared" si="4"/>
        <v>1111.1666666666667</v>
      </c>
    </row>
    <row r="12" spans="1:8" x14ac:dyDescent="0.25">
      <c r="A12" s="14">
        <v>44866</v>
      </c>
      <c r="B12" s="12">
        <v>120</v>
      </c>
      <c r="C12" s="5">
        <f>$C$17/12+$C$18/12+$C$19+B12*Выручка!C12*0.01</f>
        <v>10922.666666666668</v>
      </c>
      <c r="D12" s="5">
        <f t="shared" si="0"/>
        <v>5000</v>
      </c>
      <c r="E12" s="5">
        <f t="shared" si="1"/>
        <v>63000</v>
      </c>
      <c r="F12" s="5">
        <f t="shared" si="2"/>
        <v>30000</v>
      </c>
      <c r="G12" s="5">
        <f t="shared" si="3"/>
        <v>37584</v>
      </c>
      <c r="H12" s="15">
        <f t="shared" si="4"/>
        <v>1220.8888888888891</v>
      </c>
    </row>
    <row r="13" spans="1:8" x14ac:dyDescent="0.25">
      <c r="A13" s="14">
        <v>44896</v>
      </c>
      <c r="B13" s="12">
        <v>120</v>
      </c>
      <c r="C13" s="5">
        <f>$C$17/12+$C$18/12+$C$19+B13*Выручка!C13*0.01</f>
        <v>11148.266666666668</v>
      </c>
      <c r="D13" s="5">
        <f t="shared" si="0"/>
        <v>5000</v>
      </c>
      <c r="E13" s="5">
        <f t="shared" si="1"/>
        <v>63000</v>
      </c>
      <c r="F13" s="5">
        <f t="shared" si="2"/>
        <v>30000</v>
      </c>
      <c r="G13" s="5">
        <f t="shared" si="3"/>
        <v>37584</v>
      </c>
      <c r="H13" s="15">
        <f t="shared" si="4"/>
        <v>1222.7688888888888</v>
      </c>
    </row>
    <row r="16" spans="1:8" x14ac:dyDescent="0.25">
      <c r="B16" s="6" t="s">
        <v>6</v>
      </c>
      <c r="C16" s="5">
        <v>54</v>
      </c>
    </row>
    <row r="17" spans="2:3" x14ac:dyDescent="0.25">
      <c r="B17" s="6" t="s">
        <v>7</v>
      </c>
      <c r="C17" s="5">
        <v>40000</v>
      </c>
    </row>
    <row r="18" spans="2:3" x14ac:dyDescent="0.25">
      <c r="B18" s="6" t="s">
        <v>8</v>
      </c>
      <c r="C18" s="5">
        <v>4000</v>
      </c>
    </row>
    <row r="19" spans="2:3" x14ac:dyDescent="0.25">
      <c r="B19" s="6" t="s">
        <v>9</v>
      </c>
      <c r="C19" s="5">
        <v>5000</v>
      </c>
    </row>
    <row r="21" spans="2:3" x14ac:dyDescent="0.25">
      <c r="B21" s="8" t="s">
        <v>10</v>
      </c>
      <c r="C21" s="9">
        <v>5000</v>
      </c>
    </row>
    <row r="22" spans="2:3" x14ac:dyDescent="0.25">
      <c r="B22" s="8" t="s">
        <v>11</v>
      </c>
      <c r="C22" s="9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65CA-6EF4-43AD-835D-FAC3C1124EAD}">
  <dimension ref="A1:H24"/>
  <sheetViews>
    <sheetView workbookViewId="0">
      <selection activeCell="D13" sqref="D13"/>
    </sheetView>
  </sheetViews>
  <sheetFormatPr defaultRowHeight="15" x14ac:dyDescent="0.25"/>
  <cols>
    <col min="1" max="1" width="14" customWidth="1"/>
    <col min="2" max="2" width="25.28515625" customWidth="1"/>
    <col min="3" max="3" width="14.5703125" customWidth="1"/>
    <col min="4" max="4" width="13.140625" bestFit="1" customWidth="1"/>
  </cols>
  <sheetData>
    <row r="1" spans="1:8" ht="30" x14ac:dyDescent="0.25">
      <c r="A1" s="4" t="s">
        <v>25</v>
      </c>
      <c r="B1" s="1" t="s">
        <v>3</v>
      </c>
      <c r="C1" s="1" t="s">
        <v>12</v>
      </c>
      <c r="D1" s="1" t="s">
        <v>13</v>
      </c>
      <c r="E1" s="13"/>
      <c r="F1" s="13"/>
      <c r="G1" s="13"/>
      <c r="H1" s="10"/>
    </row>
    <row r="2" spans="1:8" x14ac:dyDescent="0.25">
      <c r="A2" s="14">
        <v>44562</v>
      </c>
      <c r="B2" s="12">
        <v>32</v>
      </c>
      <c r="C2" s="3">
        <f>2200*(1-0.06)</f>
        <v>2068</v>
      </c>
      <c r="D2" s="15">
        <f>B2*C2</f>
        <v>66176</v>
      </c>
      <c r="E2" s="10"/>
      <c r="F2" s="10"/>
      <c r="G2" s="10"/>
      <c r="H2" s="10"/>
    </row>
    <row r="3" spans="1:8" x14ac:dyDescent="0.25">
      <c r="A3" s="14">
        <v>44593</v>
      </c>
      <c r="B3" s="12">
        <v>32</v>
      </c>
      <c r="C3" s="3">
        <f t="shared" ref="C3:C13" si="0">2200*(1-0.06)</f>
        <v>2068</v>
      </c>
      <c r="D3" s="15">
        <f t="shared" ref="D3:D13" si="1">B3*C3</f>
        <v>66176</v>
      </c>
      <c r="E3" s="10"/>
      <c r="F3" s="10"/>
      <c r="G3" s="10"/>
      <c r="H3" s="10"/>
    </row>
    <row r="4" spans="1:8" x14ac:dyDescent="0.25">
      <c r="A4" s="14">
        <v>44621</v>
      </c>
      <c r="B4" s="12">
        <v>48</v>
      </c>
      <c r="C4" s="3">
        <f>2000*(1-0.06)</f>
        <v>1880</v>
      </c>
      <c r="D4" s="15">
        <f t="shared" si="1"/>
        <v>90240</v>
      </c>
      <c r="E4" s="10"/>
      <c r="F4" s="10"/>
      <c r="G4" s="10"/>
      <c r="H4" s="10"/>
    </row>
    <row r="5" spans="1:8" x14ac:dyDescent="0.25">
      <c r="A5" s="14">
        <v>44652</v>
      </c>
      <c r="B5" s="12">
        <v>96</v>
      </c>
      <c r="C5" s="3">
        <f t="shared" ref="C5:C12" si="2">2000*(1-0.06)</f>
        <v>1880</v>
      </c>
      <c r="D5" s="15">
        <f t="shared" si="1"/>
        <v>180480</v>
      </c>
      <c r="E5" s="10"/>
      <c r="F5" s="10"/>
      <c r="G5" s="10"/>
      <c r="H5" s="10"/>
    </row>
    <row r="6" spans="1:8" x14ac:dyDescent="0.25">
      <c r="A6" s="14">
        <v>44682</v>
      </c>
      <c r="B6" s="12">
        <v>160</v>
      </c>
      <c r="C6" s="3">
        <f t="shared" si="2"/>
        <v>1880</v>
      </c>
      <c r="D6" s="15">
        <f t="shared" si="1"/>
        <v>300800</v>
      </c>
      <c r="E6" s="10"/>
      <c r="F6" s="10"/>
      <c r="G6" s="10"/>
      <c r="H6" s="10"/>
    </row>
    <row r="7" spans="1:8" x14ac:dyDescent="0.25">
      <c r="A7" s="14">
        <v>44713</v>
      </c>
      <c r="B7" s="12">
        <v>200</v>
      </c>
      <c r="C7" s="3">
        <f t="shared" si="2"/>
        <v>1880</v>
      </c>
      <c r="D7" s="15">
        <f t="shared" si="1"/>
        <v>376000</v>
      </c>
      <c r="E7" s="10"/>
      <c r="F7" s="10"/>
      <c r="G7" s="10"/>
      <c r="H7" s="10"/>
    </row>
    <row r="8" spans="1:8" x14ac:dyDescent="0.25">
      <c r="A8" s="14">
        <v>44743</v>
      </c>
      <c r="B8" s="12">
        <v>200</v>
      </c>
      <c r="C8" s="3">
        <f t="shared" si="2"/>
        <v>1880</v>
      </c>
      <c r="D8" s="15">
        <f t="shared" si="1"/>
        <v>376000</v>
      </c>
      <c r="E8" s="10"/>
      <c r="F8" s="10"/>
      <c r="G8" s="10"/>
      <c r="H8" s="10"/>
    </row>
    <row r="9" spans="1:8" x14ac:dyDescent="0.25">
      <c r="A9" s="14">
        <v>44774</v>
      </c>
      <c r="B9" s="12">
        <v>200</v>
      </c>
      <c r="C9" s="3">
        <f t="shared" si="2"/>
        <v>1880</v>
      </c>
      <c r="D9" s="15">
        <f t="shared" si="1"/>
        <v>376000</v>
      </c>
      <c r="E9" s="10"/>
      <c r="F9" s="10"/>
      <c r="G9" s="10"/>
      <c r="H9" s="10"/>
    </row>
    <row r="10" spans="1:8" x14ac:dyDescent="0.25">
      <c r="A10" s="14">
        <v>44805</v>
      </c>
      <c r="B10" s="12">
        <v>200</v>
      </c>
      <c r="C10" s="3">
        <f t="shared" si="2"/>
        <v>1880</v>
      </c>
      <c r="D10" s="15">
        <f t="shared" si="1"/>
        <v>376000</v>
      </c>
      <c r="E10" s="10"/>
      <c r="F10" s="10"/>
      <c r="G10" s="10"/>
      <c r="H10" s="10"/>
    </row>
    <row r="11" spans="1:8" x14ac:dyDescent="0.25">
      <c r="A11" s="14">
        <v>44835</v>
      </c>
      <c r="B11" s="12">
        <v>160</v>
      </c>
      <c r="C11" s="3">
        <f t="shared" si="2"/>
        <v>1880</v>
      </c>
      <c r="D11" s="15">
        <f t="shared" si="1"/>
        <v>300800</v>
      </c>
      <c r="E11" s="10"/>
      <c r="F11" s="10"/>
      <c r="G11" s="10"/>
      <c r="H11" s="10"/>
    </row>
    <row r="12" spans="1:8" x14ac:dyDescent="0.25">
      <c r="A12" s="14">
        <v>44866</v>
      </c>
      <c r="B12" s="12">
        <v>120</v>
      </c>
      <c r="C12" s="3">
        <f t="shared" si="2"/>
        <v>1880</v>
      </c>
      <c r="D12" s="15">
        <f t="shared" si="1"/>
        <v>225600</v>
      </c>
      <c r="E12" s="10"/>
      <c r="F12" s="10"/>
      <c r="G12" s="10"/>
      <c r="H12" s="10"/>
    </row>
    <row r="13" spans="1:8" x14ac:dyDescent="0.25">
      <c r="A13" s="14">
        <v>44896</v>
      </c>
      <c r="B13" s="12">
        <v>120</v>
      </c>
      <c r="C13" s="3">
        <f t="shared" si="0"/>
        <v>2068</v>
      </c>
      <c r="D13" s="15">
        <f t="shared" si="1"/>
        <v>248160</v>
      </c>
      <c r="E13" s="10"/>
      <c r="F13" s="10"/>
      <c r="G13" s="10"/>
      <c r="H13" s="10"/>
    </row>
    <row r="14" spans="1:8" x14ac:dyDescent="0.25">
      <c r="D14" s="10"/>
      <c r="E14" s="10"/>
      <c r="F14" s="10"/>
      <c r="G14" s="10"/>
      <c r="H14" s="10"/>
    </row>
    <row r="15" spans="1:8" x14ac:dyDescent="0.25">
      <c r="D15" s="10"/>
      <c r="E15" s="10"/>
      <c r="F15" s="10"/>
      <c r="G15" s="10"/>
      <c r="H15" s="10"/>
    </row>
    <row r="16" spans="1:8" x14ac:dyDescent="0.25">
      <c r="A16" s="10"/>
      <c r="B16" s="11"/>
      <c r="C16" s="10"/>
      <c r="D16" s="10"/>
      <c r="E16" s="10"/>
      <c r="F16" s="10"/>
      <c r="G16" s="10"/>
      <c r="H16" s="10"/>
    </row>
    <row r="17" spans="1:8" x14ac:dyDescent="0.25">
      <c r="A17" s="10"/>
      <c r="B17" s="11"/>
      <c r="C17" s="10"/>
      <c r="D17" s="10"/>
      <c r="E17" s="10"/>
      <c r="F17" s="10"/>
      <c r="G17" s="10"/>
      <c r="H17" s="10"/>
    </row>
    <row r="18" spans="1:8" x14ac:dyDescent="0.25">
      <c r="A18" s="10"/>
      <c r="B18" s="11"/>
      <c r="C18" s="10"/>
    </row>
    <row r="19" spans="1:8" x14ac:dyDescent="0.25">
      <c r="A19" s="10"/>
      <c r="B19" s="11"/>
      <c r="C19" s="10"/>
    </row>
    <row r="20" spans="1:8" x14ac:dyDescent="0.25">
      <c r="A20" s="10"/>
      <c r="B20" s="10"/>
      <c r="C20" s="10"/>
    </row>
    <row r="21" spans="1:8" x14ac:dyDescent="0.25">
      <c r="A21" s="10"/>
      <c r="B21" s="7"/>
      <c r="C21" s="10"/>
    </row>
    <row r="22" spans="1:8" x14ac:dyDescent="0.25">
      <c r="A22" s="10"/>
      <c r="B22" s="7"/>
      <c r="C22" s="10"/>
    </row>
    <row r="23" spans="1:8" x14ac:dyDescent="0.25">
      <c r="A23" s="10"/>
      <c r="B23" s="10"/>
      <c r="C23" s="10"/>
    </row>
    <row r="24" spans="1:8" x14ac:dyDescent="0.25">
      <c r="A24" s="10"/>
      <c r="B24" s="10"/>
      <c r="C2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V r 8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I F a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W v x W K I p H u A 4 A A A A R A A A A E w A c A E Z v c m 1 1 b G F z L 1 N l Y 3 R p b 2 4 x L m 0 g o h g A K K A U A A A A A A A A A A A A A A A A A A A A A A A A A A A A K 0 5 N L s n M z 1 M I h t C G 1 g B Q S w E C L Q A U A A I A C A C B W v x W q G 0 y B a I A A A D 2 A A A A E g A A A A A A A A A A A A A A A A A A A A A A Q 2 9 u Z m l n L 1 B h Y 2 t h Z 2 U u e G 1 s U E s B A i 0 A F A A C A A g A g V r 8 V g / K 6 a u k A A A A 6 Q A A A B M A A A A A A A A A A A A A A A A A 7 g A A A F t D b 2 5 0 Z W 5 0 X 1 R 5 c G V z X S 5 4 b W x Q S w E C L Q A U A A I A C A C B W v x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U 2 U u i m e 0 y Q e + V G E H O Z Q Q A A A A A C A A A A A A A Q Z g A A A A E A A C A A A A D 2 c g M d L E t z A Q N v N w M b l w s x 8 L X 9 W / h + 9 x M t M 1 X T 5 d w Y S A A A A A A O g A A A A A I A A C A A A A D T f V B 1 i n c g V v E v g J + Q h Q t B v 0 r P I 3 V p U d r k J V Y z E G K C N 1 A A A A D z + B R a v I d 4 j T 2 + W q h J k 5 p f 5 M e n 4 d A W z b t c b U Z 6 C Y n U E L s S T F v 0 u h t u X 6 4 J e 4 i l 9 3 6 H O P O H S z k Y u U b x V M f r H P y 2 / V t l Y 6 e A e W G c l a A A j y L R y k A A A A C 8 V O k j 8 q f 2 S L 8 K r y H L c O 9 2 S 6 B u c p 3 0 5 N W H n d e l o d Z f N j C R Z B g U / i i m L j v Y 5 4 r M p h r N N t M n h c Y n x o N 0 U l p t h L z 8 < / D a t a M a s h u p > 
</file>

<file path=customXml/itemProps1.xml><?xml version="1.0" encoding="utf-8"?>
<ds:datastoreItem xmlns:ds="http://schemas.openxmlformats.org/officeDocument/2006/customXml" ds:itemID="{E715AD78-445B-46B0-93D8-1F44401371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Экономика</vt:lpstr>
      <vt:lpstr>Визуализация</vt:lpstr>
      <vt:lpstr>Затраты</vt:lpstr>
      <vt:lpstr>Выручка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2023-07-28T07:43:05Z</dcterms:created>
  <dcterms:modified xsi:type="dcterms:W3CDTF">2023-07-28T12:45:49Z</dcterms:modified>
</cp:coreProperties>
</file>