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\UDelDocuments\UDelResearch\Github\pmutt_dev\pmutt\tests\"/>
    </mc:Choice>
  </mc:AlternateContent>
  <xr:revisionPtr revIDLastSave="0" documentId="13_ncr:1_{6B8FE02F-360F-4B65-9118-87AD3CC28EE7}" xr6:coauthVersionLast="45" xr6:coauthVersionMax="45" xr10:uidLastSave="{00000000-0000-0000-0000-000000000000}"/>
  <bookViews>
    <workbookView xWindow="-108" yWindow="-108" windowWidth="23256" windowHeight="12576" activeTab="1" xr2:uid="{AA336A12-CD5D-469F-9132-8EBAE81227A9}"/>
  </bookViews>
  <sheets>
    <sheet name="ans" sheetId="3" r:id="rId1"/>
    <sheet name="test_constants" sheetId="4" r:id="rId2"/>
    <sheet name="constants" sheetId="2" r:id="rId3"/>
  </sheets>
  <definedNames>
    <definedName name="c_cms">constants!$E$7</definedName>
    <definedName name="c_ms">constants!$C$7</definedName>
    <definedName name="e_C">constants!$C$8</definedName>
    <definedName name="h_Ehs">constants!$I$9</definedName>
    <definedName name="h_eVs">constants!$G$9</definedName>
    <definedName name="h_Has">constants!$K$9</definedName>
    <definedName name="h_Js">constants!$C$9</definedName>
    <definedName name="h_kJs">constants!$E$9</definedName>
    <definedName name="kb_calK">constants!$I$10</definedName>
    <definedName name="kb_EhK">constants!$M$10</definedName>
    <definedName name="kb_eVK">constants!$G$10</definedName>
    <definedName name="kb_HaK">constants!$O$10</definedName>
    <definedName name="kb_JK">constants!$C$10</definedName>
    <definedName name="kb_kcalK">constants!$K$10</definedName>
    <definedName name="kb_kJK">constants!$E$10</definedName>
    <definedName name="m_e_amu">constants!$G$11</definedName>
    <definedName name="m_e_g">constants!$E$11</definedName>
    <definedName name="m_e_kg">constants!$C$11</definedName>
    <definedName name="m_p_amu">constants!$G$12</definedName>
    <definedName name="m_p_g">constants!$E$12</definedName>
    <definedName name="m_p_kg">constants!$C$12</definedName>
    <definedName name="Na_">constants!$C$2</definedName>
    <definedName name="P0_atm">constants!$E$3</definedName>
    <definedName name="P0_bar">constants!$C$3</definedName>
    <definedName name="P0_kPa">constants!$I$3</definedName>
    <definedName name="P0_mmHg">constants!$O$3</definedName>
    <definedName name="P0_MPa">constants!$K$3</definedName>
    <definedName name="P0_Pa">constants!$G$3</definedName>
    <definedName name="P0_psi">constants!$M$3</definedName>
    <definedName name="P0_Torr">constants!$Q$3</definedName>
    <definedName name="R_calmolK">constants!$U$4</definedName>
    <definedName name="R_cm3atmmolK">constants!$AA$4</definedName>
    <definedName name="R_cm3kPamolK">constants!$I$4</definedName>
    <definedName name="R_cm3MPamolK">constants!$M$4</definedName>
    <definedName name="R_EhK">constants!$AE$4</definedName>
    <definedName name="R_eVK">constants!$AC$4</definedName>
    <definedName name="R_HaK">constants!$AG$4</definedName>
    <definedName name="R_JmolK">constants!$C$4</definedName>
    <definedName name="R_kcalmolK">constants!$W$4</definedName>
    <definedName name="R_kJmolK">constants!$E$4</definedName>
    <definedName name="R_LatmmolK">constants!$Y$4</definedName>
    <definedName name="R_LbarmolK">constants!$Q$4</definedName>
    <definedName name="R_LPamol">constants!$G$4</definedName>
    <definedName name="R_LtorrmolK">constants!$S$4</definedName>
    <definedName name="R_m3barmolK">constants!$O$4</definedName>
    <definedName name="R_m3PamolK">constants!$K$4</definedName>
    <definedName name="T0_C">constants!$E$5</definedName>
    <definedName name="T0_F">constants!$I$5</definedName>
    <definedName name="T0_K">constants!$C$5</definedName>
    <definedName name="T0_R">constants!$G$5</definedName>
    <definedName name="V0_cm3">constants!$E$6</definedName>
    <definedName name="V0_L">constants!$I$6</definedName>
    <definedName name="V0_m3">constants!$C$6</definedName>
    <definedName name="V0_ml">constants!$G$6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4" l="1"/>
  <c r="B58" i="4" l="1"/>
  <c r="B54" i="4"/>
  <c r="B38" i="4"/>
  <c r="B74" i="4" l="1"/>
  <c r="B34" i="4"/>
  <c r="B62" i="4"/>
  <c r="B50" i="4"/>
  <c r="B30" i="4" l="1"/>
  <c r="B26" i="4"/>
  <c r="E6" i="2"/>
  <c r="C6" i="2"/>
  <c r="I6" i="2" s="1"/>
  <c r="G6" i="2" l="1"/>
  <c r="B11" i="3"/>
  <c r="I5" i="2"/>
  <c r="G5" i="2"/>
  <c r="E5" i="2"/>
  <c r="E12" i="2"/>
  <c r="C12" i="2"/>
  <c r="E11" i="2"/>
  <c r="C11" i="2"/>
  <c r="B22" i="3"/>
  <c r="B82" i="4"/>
  <c r="B27" i="3" s="1"/>
  <c r="B78" i="4"/>
  <c r="B26" i="3" s="1"/>
  <c r="B70" i="4"/>
  <c r="B24" i="3" s="1"/>
  <c r="B25" i="3"/>
  <c r="B66" i="4"/>
  <c r="B23" i="3" s="1"/>
  <c r="B21" i="3"/>
  <c r="B20" i="3"/>
  <c r="B42" i="4"/>
  <c r="B17" i="3" s="1"/>
  <c r="B16" i="3"/>
  <c r="B15" i="3"/>
  <c r="B14" i="3"/>
  <c r="B19" i="3"/>
  <c r="B46" i="4"/>
  <c r="B18" i="3" s="1"/>
  <c r="A7" i="4"/>
  <c r="A6" i="4"/>
  <c r="A5" i="4"/>
  <c r="A4" i="4"/>
  <c r="A3" i="4"/>
  <c r="E10" i="3"/>
  <c r="D10" i="3"/>
  <c r="C10" i="3"/>
  <c r="B10" i="3"/>
  <c r="E9" i="3"/>
  <c r="D9" i="3"/>
  <c r="C9" i="3"/>
  <c r="B9" i="3"/>
  <c r="I8" i="3"/>
  <c r="H8" i="3"/>
  <c r="G8" i="3"/>
  <c r="F8" i="3"/>
  <c r="E8" i="3"/>
  <c r="D8" i="3"/>
  <c r="C8" i="3"/>
  <c r="B8" i="3"/>
  <c r="D7" i="3"/>
  <c r="C7" i="3"/>
  <c r="B7" i="3"/>
  <c r="D6" i="3"/>
  <c r="C6" i="3"/>
  <c r="B6" i="3"/>
  <c r="C5" i="3"/>
  <c r="B5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59" i="2"/>
  <c r="B44" i="2"/>
  <c r="B43" i="2"/>
  <c r="B42" i="2"/>
  <c r="B41" i="2"/>
  <c r="B34" i="2"/>
  <c r="B33" i="2"/>
  <c r="B32" i="2"/>
  <c r="B31" i="2"/>
  <c r="B30" i="2"/>
  <c r="B29" i="2"/>
  <c r="A18" i="4"/>
  <c r="A12" i="4"/>
  <c r="A13" i="4" s="1"/>
  <c r="A14" i="4" s="1"/>
  <c r="E11" i="3" s="1"/>
  <c r="D11" i="3" l="1"/>
  <c r="C11" i="3"/>
  <c r="B13" i="3"/>
  <c r="B12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</calcChain>
</file>

<file path=xl/sharedStrings.xml><?xml version="1.0" encoding="utf-8"?>
<sst xmlns="http://schemas.openxmlformats.org/spreadsheetml/2006/main" count="389" uniqueCount="280">
  <si>
    <t>Ca</t>
  </si>
  <si>
    <t>Ti</t>
  </si>
  <si>
    <t>O</t>
  </si>
  <si>
    <t>Name</t>
  </si>
  <si>
    <t>Description</t>
  </si>
  <si>
    <t>Na</t>
  </si>
  <si>
    <t>Avogadro's #</t>
  </si>
  <si>
    <t>molecules/mol</t>
  </si>
  <si>
    <t>P0</t>
  </si>
  <si>
    <t>Reference pressure</t>
  </si>
  <si>
    <t>bar</t>
  </si>
  <si>
    <t>atm</t>
  </si>
  <si>
    <t>Pa</t>
  </si>
  <si>
    <t>kPa</t>
  </si>
  <si>
    <t>psi</t>
  </si>
  <si>
    <t>mmHg</t>
  </si>
  <si>
    <t>Torr</t>
  </si>
  <si>
    <t>R</t>
  </si>
  <si>
    <t>Universal gas constant</t>
  </si>
  <si>
    <t>J/mol/K</t>
  </si>
  <si>
    <t>kJ/mol/K</t>
  </si>
  <si>
    <t>L kPa/mol/K</t>
  </si>
  <si>
    <t>cm3 kPa/mol/K</t>
  </si>
  <si>
    <t>m3 Pa/mol/K</t>
  </si>
  <si>
    <t>cm3 MPa/mol/K</t>
  </si>
  <si>
    <t>m3 bar/mol/K</t>
  </si>
  <si>
    <t>L bar/mol/K</t>
  </si>
  <si>
    <t>L torr/mol/K</t>
  </si>
  <si>
    <t>cal/mol/K</t>
  </si>
  <si>
    <t>kcal/mol/K</t>
  </si>
  <si>
    <t>L atm/mol/K</t>
  </si>
  <si>
    <t>cm3 atm/mol/K</t>
  </si>
  <si>
    <t>eV/K</t>
  </si>
  <si>
    <t>Eh/K</t>
  </si>
  <si>
    <t>Ha/K</t>
  </si>
  <si>
    <t>T0</t>
  </si>
  <si>
    <t>Room temperature</t>
  </si>
  <si>
    <t>K</t>
  </si>
  <si>
    <t>C</t>
  </si>
  <si>
    <t>F</t>
  </si>
  <si>
    <t>V0</t>
  </si>
  <si>
    <t>Molar volume</t>
  </si>
  <si>
    <t>m3</t>
  </si>
  <si>
    <t>cm3</t>
  </si>
  <si>
    <t>mL</t>
  </si>
  <si>
    <t>L</t>
  </si>
  <si>
    <t>H</t>
  </si>
  <si>
    <t>c</t>
  </si>
  <si>
    <t>Atomic weight</t>
  </si>
  <si>
    <t>Speed of light</t>
  </si>
  <si>
    <t>m/s</t>
  </si>
  <si>
    <t>cm/s</t>
  </si>
  <si>
    <t>e</t>
  </si>
  <si>
    <t>Electronic charge</t>
  </si>
  <si>
    <t>h</t>
  </si>
  <si>
    <t>Planck's constant</t>
  </si>
  <si>
    <t>J s</t>
  </si>
  <si>
    <t>kJ s</t>
  </si>
  <si>
    <t>eV s</t>
  </si>
  <si>
    <t>Eh s</t>
  </si>
  <si>
    <t>Ha s</t>
  </si>
  <si>
    <t>kb</t>
  </si>
  <si>
    <t>Boltzmann constant</t>
  </si>
  <si>
    <t>J/K</t>
  </si>
  <si>
    <t>kJ/K</t>
  </si>
  <si>
    <t>cal/K</t>
  </si>
  <si>
    <t>kcal/K</t>
  </si>
  <si>
    <t>m_e</t>
  </si>
  <si>
    <t>Mass of an electron</t>
  </si>
  <si>
    <t>kg</t>
  </si>
  <si>
    <t>g</t>
  </si>
  <si>
    <t>amu</t>
  </si>
  <si>
    <t>m_p</t>
  </si>
  <si>
    <t>Mass of a proton</t>
  </si>
  <si>
    <t>test_R</t>
  </si>
  <si>
    <t>test_h</t>
  </si>
  <si>
    <t>test_kb</t>
  </si>
  <si>
    <t>test_c</t>
  </si>
  <si>
    <t>test_m_e</t>
  </si>
  <si>
    <t>test_m_p</t>
  </si>
  <si>
    <t>test_P0</t>
  </si>
  <si>
    <t>test_T0</t>
  </si>
  <si>
    <t>test_V0</t>
  </si>
  <si>
    <t>test_convert_unit</t>
  </si>
  <si>
    <t>test_energy_to_freq</t>
  </si>
  <si>
    <t>test_energy_to_temp</t>
  </si>
  <si>
    <t>test_energy_to_wavenumber</t>
  </si>
  <si>
    <t>test_freq_to_energy</t>
  </si>
  <si>
    <t>test_freq_to_temp</t>
  </si>
  <si>
    <t>test_freq_to_wavenumber</t>
  </si>
  <si>
    <t>test_inertia_to_temp</t>
  </si>
  <si>
    <t>test_temp_to_energy</t>
  </si>
  <si>
    <t>test_temp_to_freq</t>
  </si>
  <si>
    <t>test_temp_to_wavenumber</t>
  </si>
  <si>
    <t>test_wavenumber_to_energy</t>
  </si>
  <si>
    <t>test_wavenumber_to_freq</t>
  </si>
  <si>
    <t>test_wavenumber_to_inertia</t>
  </si>
  <si>
    <t>test_wavenumber_to_temp</t>
  </si>
  <si>
    <t>test_debye_to_einstein</t>
  </si>
  <si>
    <t>test_einstein_to_debye</t>
  </si>
  <si>
    <t>Energy</t>
  </si>
  <si>
    <t>eV</t>
  </si>
  <si>
    <t>Freq</t>
  </si>
  <si>
    <t>Hz</t>
  </si>
  <si>
    <t>Temp</t>
  </si>
  <si>
    <t>T conversion</t>
  </si>
  <si>
    <t>Unit Conversion</t>
  </si>
  <si>
    <t>J</t>
  </si>
  <si>
    <t>1/cm</t>
  </si>
  <si>
    <t>Wavenumber</t>
  </si>
  <si>
    <t>Inertia</t>
  </si>
  <si>
    <t>MPa</t>
  </si>
  <si>
    <t>He</t>
  </si>
  <si>
    <t>Li</t>
  </si>
  <si>
    <t>Be</t>
  </si>
  <si>
    <t>B</t>
  </si>
  <si>
    <t>N</t>
  </si>
  <si>
    <t>Ne</t>
  </si>
  <si>
    <t>Mg</t>
  </si>
  <si>
    <t>Al</t>
  </si>
  <si>
    <t>Si</t>
  </si>
  <si>
    <t>P</t>
  </si>
  <si>
    <t>S</t>
  </si>
  <si>
    <t>Cl</t>
  </si>
  <si>
    <t>Ar</t>
  </si>
  <si>
    <t>Sc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</si>
  <si>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</si>
  <si>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</si>
  <si>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</si>
  <si>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</si>
  <si>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</si>
  <si>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</si>
  <si>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</si>
  <si>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</si>
  <si>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</si>
  <si>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</si>
  <si>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</si>
  <si>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</si>
  <si>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</si>
  <si>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</si>
  <si>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</si>
  <si>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</si>
  <si>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</si>
  <si>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</si>
  <si>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</si>
  <si>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</si>
  <si>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</si>
  <si>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</si>
  <si>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</si>
  <si>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</si>
  <si>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</si>
  <si>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</si>
  <si>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</si>
  <si>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</si>
  <si>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</si>
  <si>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</si>
  <si>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</si>
  <si>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</si>
  <si>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</si>
  <si>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</si>
  <si>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</si>
  <si>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</si>
  <si>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</si>
  <si>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</si>
  <si>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</si>
  <si>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</si>
  <si>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</si>
  <si>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</si>
  <si>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</si>
  <si>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</si>
  <si>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</si>
  <si>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</si>
  <si>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</si>
  <si>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</si>
  <si>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</si>
  <si>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</si>
  <si>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</si>
  <si>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</si>
  <si>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</si>
  <si>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</si>
  <si>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</si>
  <si>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</si>
  <si>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</si>
  <si>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</si>
  <si>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</si>
  <si>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</si>
  <si>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</si>
  <si>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</si>
  <si>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</si>
  <si>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</si>
  <si>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</si>
  <si>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</si>
  <si>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</si>
  <si>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</si>
  <si>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</si>
  <si>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</si>
  <si>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</si>
  <si>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</si>
  <si>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</si>
  <si>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</si>
  <si>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</si>
  <si>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</si>
  <si>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</si>
  <si>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</si>
  <si>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</si>
  <si>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</si>
  <si>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</si>
  <si>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</si>
  <si>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</si>
  <si>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</si>
  <si>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</si>
  <si>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</si>
  <si>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</si>
  <si>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</si>
  <si>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</si>
  <si>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Uut</t>
  </si>
  <si>
    <t>Fl</t>
  </si>
  <si>
    <t>Uup</t>
  </si>
  <si>
    <t>Lv</t>
  </si>
  <si>
    <t>Uuo</t>
  </si>
  <si>
    <t>kJ</t>
  </si>
  <si>
    <t>cal</t>
  </si>
  <si>
    <t>kcal</t>
  </si>
  <si>
    <t>Eh</t>
  </si>
  <si>
    <t>Ha</t>
  </si>
  <si>
    <t>J/mol</t>
  </si>
  <si>
    <t>kJ/mol</t>
  </si>
  <si>
    <t>cal/mol</t>
  </si>
  <si>
    <t>kcal/mol</t>
  </si>
  <si>
    <t>eV/molecule</t>
  </si>
  <si>
    <t>Eh/molecule</t>
  </si>
  <si>
    <t>Ha/molecule</t>
  </si>
  <si>
    <t>eV/particle</t>
  </si>
  <si>
    <t>Eh/particle</t>
  </si>
  <si>
    <t>Ha/particle</t>
  </si>
  <si>
    <t>ps</t>
  </si>
  <si>
    <t>ns</t>
  </si>
  <si>
    <t>ms</t>
  </si>
  <si>
    <t>s</t>
  </si>
  <si>
    <t>min</t>
  </si>
  <si>
    <t>hr</t>
  </si>
  <si>
    <t>day</t>
  </si>
  <si>
    <t>yr</t>
  </si>
  <si>
    <t>mol</t>
  </si>
  <si>
    <t>molecule</t>
  </si>
  <si>
    <t>molec</t>
  </si>
  <si>
    <t>particle</t>
  </si>
  <si>
    <t>m</t>
  </si>
  <si>
    <t>cm</t>
  </si>
  <si>
    <t>nm</t>
  </si>
  <si>
    <t>km</t>
  </si>
  <si>
    <t>inch</t>
  </si>
  <si>
    <t>ft</t>
  </si>
  <si>
    <t>mile</t>
  </si>
  <si>
    <t>A</t>
  </si>
  <si>
    <t>m2</t>
  </si>
  <si>
    <t>cm2</t>
  </si>
  <si>
    <t>A2</t>
  </si>
  <si>
    <t>km2</t>
  </si>
  <si>
    <t>inch2</t>
  </si>
  <si>
    <t>ft2</t>
  </si>
  <si>
    <t>inch3</t>
  </si>
  <si>
    <t>ft3</t>
  </si>
  <si>
    <t>lbs</t>
  </si>
  <si>
    <t>torr</t>
  </si>
  <si>
    <t>L atm</t>
  </si>
  <si>
    <t>E units</t>
  </si>
  <si>
    <t>Energy/Amount</t>
  </si>
  <si>
    <t>Time</t>
  </si>
  <si>
    <t>Amount</t>
  </si>
  <si>
    <t>Length</t>
  </si>
  <si>
    <t>Area</t>
  </si>
  <si>
    <t>Volume</t>
  </si>
  <si>
    <t>Mass</t>
  </si>
  <si>
    <t>Pressure</t>
  </si>
  <si>
    <t>bar=True</t>
  </si>
  <si>
    <t>kg m2</t>
  </si>
  <si>
    <t>Debye Temp</t>
  </si>
  <si>
    <t>Einstein Temp</t>
  </si>
  <si>
    <t>cm-1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</si>
</sst>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3" borderId="0" applyNumberFormat="0" applyAlignment="0" applyProtection="0"/>
    <xf numFmtId="0" fontId="3" fillId="2" borderId="0" applyNumberFormat="0" applyAlignment="0" applyProtection="0"/>
    <xf numFmtId="0" fontId="1" fillId="0" borderId="0"/>
  </cellStyleXfs>
  <cellXfs count="29">
    <xf numFmtId="0" fontId="0" fillId="0" borderId="0" xfId="0"/>
    <xf numFmtId="0" fontId="2" fillId="0" borderId="0" xfId="0" applyFont="1"/>
    <xf numFmtId="11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0" xfId="1" applyBorder="1"/>
    <xf numFmtId="0" fontId="0" fillId="0" borderId="5" xfId="0" applyBorder="1"/>
    <xf numFmtId="0" fontId="0" fillId="0" borderId="6" xfId="0" applyBorder="1"/>
    <xf numFmtId="11" fontId="3" fillId="2" borderId="7" xfId="2" applyNumberFormat="1" applyBorder="1"/>
    <xf numFmtId="0" fontId="0" fillId="0" borderId="8" xfId="0" applyBorder="1"/>
    <xf numFmtId="0" fontId="0" fillId="0" borderId="4" xfId="0" applyFont="1" applyBorder="1"/>
    <xf numFmtId="0" fontId="0" fillId="0" borderId="6" xfId="0" applyFont="1" applyFill="1" applyBorder="1"/>
    <xf numFmtId="0" fontId="3" fillId="2" borderId="0" xfId="2"/>
    <xf numFmtId="0" fontId="1" fillId="0" borderId="0" xfId="3"/>
    <xf numFmtId="0" fontId="1" fillId="0" borderId="1" xfId="3" applyBorder="1"/>
    <xf numFmtId="0" fontId="3" fillId="3" borderId="4" xfId="1" applyBorder="1"/>
    <xf numFmtId="0" fontId="3" fillId="2" borderId="4" xfId="2" applyBorder="1"/>
    <xf numFmtId="0" fontId="2" fillId="0" borderId="4" xfId="0" applyFont="1" applyBorder="1"/>
    <xf numFmtId="0" fontId="3" fillId="2" borderId="6" xfId="2" applyBorder="1"/>
    <xf numFmtId="11" fontId="3" fillId="3" borderId="0" xfId="1" applyNumberFormat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0" xfId="0" applyBorder="1"/>
    <xf numFmtId="11" fontId="0" fillId="0" borderId="0" xfId="0" applyNumberFormat="1" applyBorder="1"/>
    <xf numFmtId="0" fontId="2" fillId="0" borderId="1" xfId="0" applyFont="1" applyFill="1" applyBorder="1"/>
    <xf numFmtId="11" fontId="0" fillId="0" borderId="3" xfId="0" applyNumberFormat="1" applyBorder="1"/>
    <xf numFmtId="0" fontId="3" fillId="2" borderId="7" xfId="2" applyBorder="1"/>
  </cellXfs>
  <cellStyles count="4">
    <cellStyle name="Input" xfId="1" builtinId="20" customBuiltin="1"/>
    <cellStyle name="Normal" xfId="0" builtinId="0"/>
    <cellStyle name="Output" xfId="2" builtinId="21" customBuiltin="1"/>
    <cellStyle name="Test Header" xfId="3" xr:uid="{9BF2DA0F-E5BE-4543-9F1F-C87A7C671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84F8-0654-4A01-81DA-CD635B4EF016}">
  <dimension ref="A1:Q27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4.4" x14ac:dyDescent="0.3"/>
  <cols>
    <col min="1" max="1" width="27.6640625" bestFit="1" customWidth="1"/>
    <col min="2" max="2" width="12" bestFit="1" customWidth="1"/>
  </cols>
  <sheetData>
    <row r="1" spans="1:17" x14ac:dyDescent="0.3">
      <c r="A1" s="1"/>
      <c r="B1" s="1">
        <v>0</v>
      </c>
      <c r="C1" s="1">
        <f>B1+1</f>
        <v>1</v>
      </c>
      <c r="D1" s="1">
        <f t="shared" ref="D1:Q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</row>
    <row r="2" spans="1:17" x14ac:dyDescent="0.3">
      <c r="A2" s="1" t="s">
        <v>74</v>
      </c>
      <c r="B2">
        <f>R_JmolK</f>
        <v>8.3144597999999998</v>
      </c>
      <c r="C2" s="2">
        <f>R_kJmolK</f>
        <v>8.3144598E-3</v>
      </c>
      <c r="D2">
        <f>R_LPamol</f>
        <v>8.3144597999999998</v>
      </c>
      <c r="E2" s="2">
        <f>R_cm3kPamolK</f>
        <v>8314.4598000000005</v>
      </c>
      <c r="F2" s="2">
        <f>R_m3PamolK</f>
        <v>8.3144597999999998</v>
      </c>
      <c r="G2">
        <f>R_cm3MPamolK</f>
        <v>8.3144597999999998</v>
      </c>
      <c r="H2" s="2">
        <f>R_m3barmolK</f>
        <v>8.3144597999999998E-5</v>
      </c>
      <c r="I2" s="2">
        <f>R_LbarmolK</f>
        <v>8.3144598E-2</v>
      </c>
      <c r="J2" s="2">
        <f>R_LtorrmolK</f>
        <v>62.363576999999999</v>
      </c>
      <c r="K2" s="2">
        <f>R_calmolK</f>
        <v>1.9872036</v>
      </c>
      <c r="L2" s="2">
        <f>R_kcalmolK</f>
        <v>1.9872036000000001E-3</v>
      </c>
      <c r="M2">
        <f>R_LatmmolK</f>
        <v>8.2057337999999994E-2</v>
      </c>
      <c r="N2">
        <f>R_cm3atmmolK</f>
        <v>82.057338000000001</v>
      </c>
      <c r="O2" s="2">
        <f>R_eVK</f>
        <v>8.6173302999999999E-5</v>
      </c>
      <c r="P2" s="2">
        <f>R_EhK</f>
        <v>3.1668104999999999E-6</v>
      </c>
      <c r="Q2" s="2">
        <f>R_HaK</f>
        <v>3.1668104999999999E-6</v>
      </c>
    </row>
    <row r="3" spans="1:17" x14ac:dyDescent="0.3">
      <c r="A3" s="1" t="s">
        <v>75</v>
      </c>
      <c r="B3" s="2">
        <f>h_Js</f>
        <v>6.6260700399999999E-34</v>
      </c>
      <c r="C3" s="2">
        <f>h_kJs</f>
        <v>6.6260700400000004E-37</v>
      </c>
      <c r="D3" s="2">
        <f>h_eVs</f>
        <v>4.1356676619999999E-15</v>
      </c>
      <c r="E3" s="2">
        <f>h_Ehs</f>
        <v>1.519829846E-16</v>
      </c>
      <c r="F3" s="2">
        <f>h_Has</f>
        <v>1.519829846E-16</v>
      </c>
      <c r="G3" s="2">
        <f>h_Js/2/PI()</f>
        <v>1.0545718001391127E-34</v>
      </c>
      <c r="H3" s="2">
        <f>h_kJs/2/PI()</f>
        <v>1.0545718001391128E-37</v>
      </c>
      <c r="I3" s="2">
        <f>h_eVs/2/PI()</f>
        <v>6.5821195139260184E-16</v>
      </c>
      <c r="J3" s="2">
        <f>h_Ehs/2/PI()</f>
        <v>2.4188843264949407E-17</v>
      </c>
      <c r="K3" s="2">
        <f>h_Has/2/PI()</f>
        <v>2.4188843264949407E-17</v>
      </c>
      <c r="L3" s="2"/>
      <c r="M3" s="2"/>
    </row>
    <row r="4" spans="1:17" x14ac:dyDescent="0.3">
      <c r="A4" s="1" t="s">
        <v>76</v>
      </c>
      <c r="B4" s="2">
        <f>kb_JK</f>
        <v>1.3806485199999999E-23</v>
      </c>
      <c r="C4" s="2">
        <f>kb_kJK</f>
        <v>1.3806485199999999E-26</v>
      </c>
      <c r="D4" s="2">
        <f>kb_eVK</f>
        <v>8.6173302999999999E-5</v>
      </c>
      <c r="E4" s="2">
        <f>kb_calK</f>
        <v>3.297623E-24</v>
      </c>
      <c r="F4" s="2">
        <f>kb_kcalK</f>
        <v>3.2976229999999998E-27</v>
      </c>
      <c r="G4" s="2">
        <f>kb_EhK</f>
        <v>3.1668104999999999E-6</v>
      </c>
      <c r="H4" s="2">
        <f>kb_HaK</f>
        <v>3.1668104999999999E-6</v>
      </c>
    </row>
    <row r="5" spans="1:17" x14ac:dyDescent="0.3">
      <c r="A5" s="1" t="s">
        <v>77</v>
      </c>
      <c r="B5">
        <f>c_ms</f>
        <v>299792458</v>
      </c>
      <c r="C5" s="2">
        <f>c_cms</f>
        <v>29979245800</v>
      </c>
    </row>
    <row r="6" spans="1:17" x14ac:dyDescent="0.3">
      <c r="A6" s="1" t="s">
        <v>78</v>
      </c>
      <c r="B6" s="2">
        <f>m_e_kg</f>
        <v>9.1095966301893065E-31</v>
      </c>
      <c r="C6" s="2">
        <f>m_e_g</f>
        <v>9.1095966301893082E-28</v>
      </c>
      <c r="D6" s="2">
        <f>m_e_amu</f>
        <v>5.4857990907000004E-4</v>
      </c>
    </row>
    <row r="7" spans="1:17" x14ac:dyDescent="0.3">
      <c r="A7" s="1" t="s">
        <v>79</v>
      </c>
      <c r="B7" s="2">
        <f>m_p_kg</f>
        <v>1.6726610210544671E-27</v>
      </c>
      <c r="C7" s="2">
        <f>m_p_g</f>
        <v>1.6726610210544667E-24</v>
      </c>
      <c r="D7">
        <f>m_p_amu</f>
        <v>1.007276466879</v>
      </c>
    </row>
    <row r="8" spans="1:17" x14ac:dyDescent="0.3">
      <c r="A8" s="1" t="s">
        <v>80</v>
      </c>
      <c r="B8">
        <f>P0_bar</f>
        <v>1</v>
      </c>
      <c r="C8">
        <f>P0_atm</f>
        <v>0.98692299999999999</v>
      </c>
      <c r="D8">
        <f>P0_Pa</f>
        <v>100000</v>
      </c>
      <c r="E8">
        <f>P0_kPa</f>
        <v>100</v>
      </c>
      <c r="F8">
        <f>P0_MPa</f>
        <v>0.1</v>
      </c>
      <c r="G8">
        <f>P0_psi</f>
        <v>14.5038</v>
      </c>
      <c r="H8">
        <f>P0_mmHg</f>
        <v>750.06200000000001</v>
      </c>
      <c r="I8">
        <f>P0_Torr</f>
        <v>750.06200000000001</v>
      </c>
    </row>
    <row r="9" spans="1:17" x14ac:dyDescent="0.3">
      <c r="A9" s="1" t="s">
        <v>81</v>
      </c>
      <c r="B9">
        <f>T0_K</f>
        <v>298.14999999999998</v>
      </c>
      <c r="C9">
        <f>T0_C</f>
        <v>25</v>
      </c>
      <c r="D9">
        <f>T0_R</f>
        <v>536.66999999999996</v>
      </c>
      <c r="E9">
        <f>T0_F</f>
        <v>76.999999999999943</v>
      </c>
    </row>
    <row r="10" spans="1:17" x14ac:dyDescent="0.3">
      <c r="A10" s="1" t="s">
        <v>82</v>
      </c>
      <c r="B10">
        <f>V0_m3</f>
        <v>2.4789561893699998E-2</v>
      </c>
      <c r="C10">
        <f>V0_cm3</f>
        <v>24789.561893699996</v>
      </c>
      <c r="D10">
        <f>V0_ml</f>
        <v>24789.561893699996</v>
      </c>
      <c r="E10">
        <f>V0_L</f>
        <v>24.789561893699997</v>
      </c>
    </row>
    <row r="11" spans="1:17" x14ac:dyDescent="0.3">
      <c r="A11" s="1" t="s">
        <v>83</v>
      </c>
      <c r="B11" s="2">
        <f>test_constants!A11</f>
        <v>298.14999999999998</v>
      </c>
      <c r="C11">
        <f>test_constants!A12</f>
        <v>25</v>
      </c>
      <c r="D11">
        <f>test_constants!A13</f>
        <v>77</v>
      </c>
      <c r="E11">
        <f>test_constants!A14</f>
        <v>536.67000000000007</v>
      </c>
      <c r="F11">
        <v>100</v>
      </c>
    </row>
    <row r="12" spans="1:17" x14ac:dyDescent="0.3">
      <c r="A12" s="1" t="s">
        <v>84</v>
      </c>
      <c r="B12" s="2">
        <f>test_constants!B22</f>
        <v>24179892822261.859</v>
      </c>
    </row>
    <row r="13" spans="1:17" x14ac:dyDescent="0.3">
      <c r="A13" s="1" t="s">
        <v>85</v>
      </c>
      <c r="B13" s="2">
        <f>test_constants!B26</f>
        <v>1160.4522156008277</v>
      </c>
    </row>
    <row r="14" spans="1:17" x14ac:dyDescent="0.3">
      <c r="A14" s="1" t="s">
        <v>86</v>
      </c>
      <c r="B14" s="2">
        <f>test_constants!B30</f>
        <v>806.55440712460688</v>
      </c>
    </row>
    <row r="15" spans="1:17" x14ac:dyDescent="0.3">
      <c r="A15" s="1" t="s">
        <v>87</v>
      </c>
      <c r="B15" s="2">
        <f>test_constants!B34*constants!B15/constants!B17</f>
        <v>2.5691045715871832E-39</v>
      </c>
    </row>
    <row r="16" spans="1:17" x14ac:dyDescent="0.3">
      <c r="A16" s="1" t="s">
        <v>88</v>
      </c>
      <c r="B16" s="2">
        <f>test_constants!B38</f>
        <v>1161.4172082551468</v>
      </c>
    </row>
    <row r="17" spans="1:2" x14ac:dyDescent="0.3">
      <c r="A17" s="1" t="s">
        <v>89</v>
      </c>
      <c r="B17" s="2">
        <f>test_constants!B42</f>
        <v>807.22511037952791</v>
      </c>
    </row>
    <row r="18" spans="1:2" x14ac:dyDescent="0.3">
      <c r="A18" s="1" t="s">
        <v>90</v>
      </c>
      <c r="B18" s="2">
        <f>test_constants!B46</f>
        <v>0.55937968407661531</v>
      </c>
    </row>
    <row r="19" spans="1:2" x14ac:dyDescent="0.3">
      <c r="A19" s="1" t="s">
        <v>91</v>
      </c>
      <c r="B19">
        <f>test_constants!B50</f>
        <v>1.6015522831999997E-20</v>
      </c>
    </row>
    <row r="20" spans="1:2" x14ac:dyDescent="0.3">
      <c r="A20" s="1" t="s">
        <v>92</v>
      </c>
      <c r="B20">
        <f>test_constants!B54</f>
        <v>24170470181145.258</v>
      </c>
    </row>
    <row r="21" spans="1:2" x14ac:dyDescent="0.3">
      <c r="A21" s="1" t="s">
        <v>93</v>
      </c>
      <c r="B21">
        <f>test_constants!B58</f>
        <v>806.24010164876324</v>
      </c>
    </row>
    <row r="22" spans="1:2" x14ac:dyDescent="0.3">
      <c r="A22" s="1" t="s">
        <v>94</v>
      </c>
      <c r="B22">
        <f>test_constants!B62</f>
        <v>1.6090211175791243E-20</v>
      </c>
    </row>
    <row r="23" spans="1:2" x14ac:dyDescent="0.3">
      <c r="A23" s="1" t="s">
        <v>95</v>
      </c>
      <c r="B23">
        <f>test_constants!B66</f>
        <v>24283189098000</v>
      </c>
    </row>
    <row r="24" spans="1:2" x14ac:dyDescent="0.3">
      <c r="A24" s="1" t="s">
        <v>96</v>
      </c>
      <c r="B24">
        <f>test_constants!B70</f>
        <v>3.1034429993183841E-30</v>
      </c>
    </row>
    <row r="25" spans="1:2" x14ac:dyDescent="0.3">
      <c r="A25" s="1" t="s">
        <v>97</v>
      </c>
      <c r="B25">
        <f>test_constants!B74</f>
        <v>1165.4096566004534</v>
      </c>
    </row>
    <row r="26" spans="1:2" x14ac:dyDescent="0.3">
      <c r="A26" s="1" t="s">
        <v>98</v>
      </c>
      <c r="B26">
        <f>test_constants!B78</f>
        <v>173.28913505677048</v>
      </c>
    </row>
    <row r="27" spans="1:2" x14ac:dyDescent="0.3">
      <c r="A27" s="1" t="s">
        <v>99</v>
      </c>
      <c r="B27">
        <f>test_constants!B82</f>
        <v>217.12267181479001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05CA-ACAA-4599-A8B2-1C6F37F3FD7A}">
  <dimension ref="A1:D82"/>
  <sheetViews>
    <sheetView tabSelected="1" topLeftCell="A14" workbookViewId="0">
      <selection activeCell="B22" sqref="B22"/>
    </sheetView>
  </sheetViews>
  <sheetFormatPr defaultRowHeight="14.4" x14ac:dyDescent="0.3"/>
  <cols>
    <col min="1" max="1" width="35.6640625" bestFit="1" customWidth="1"/>
    <col min="2" max="2" width="17.77734375" bestFit="1" customWidth="1"/>
    <col min="3" max="3" width="12" bestFit="1" customWidth="1"/>
    <col min="5" max="5" width="11" bestFit="1" customWidth="1"/>
  </cols>
  <sheetData>
    <row r="1" spans="1:2" ht="18" x14ac:dyDescent="0.35">
      <c r="A1" s="16" t="s">
        <v>75</v>
      </c>
      <c r="B1" s="5"/>
    </row>
    <row r="2" spans="1:2" x14ac:dyDescent="0.3">
      <c r="A2" s="6" t="s">
        <v>275</v>
      </c>
      <c r="B2" s="8"/>
    </row>
    <row r="3" spans="1:2" x14ac:dyDescent="0.3">
      <c r="A3" s="18">
        <f>h_Js/2/PI()</f>
        <v>1.0545718001391127E-34</v>
      </c>
      <c r="B3" s="8" t="s">
        <v>56</v>
      </c>
    </row>
    <row r="4" spans="1:2" x14ac:dyDescent="0.3">
      <c r="A4" s="18">
        <f>h_kJs/2/PI()</f>
        <v>1.0545718001391128E-37</v>
      </c>
      <c r="B4" s="8" t="s">
        <v>57</v>
      </c>
    </row>
    <row r="5" spans="1:2" x14ac:dyDescent="0.3">
      <c r="A5" s="18">
        <f>h_eVs/2/PI()</f>
        <v>6.5821195139260184E-16</v>
      </c>
      <c r="B5" s="8" t="s">
        <v>58</v>
      </c>
    </row>
    <row r="6" spans="1:2" x14ac:dyDescent="0.3">
      <c r="A6" s="18">
        <f>h_Ehs/2/PI()</f>
        <v>2.4188843264949407E-17</v>
      </c>
      <c r="B6" s="8" t="s">
        <v>59</v>
      </c>
    </row>
    <row r="7" spans="1:2" ht="15" thickBot="1" x14ac:dyDescent="0.35">
      <c r="A7" s="20">
        <f>h_Has/2/PI()</f>
        <v>2.4188843264949407E-17</v>
      </c>
      <c r="B7" s="11" t="s">
        <v>60</v>
      </c>
    </row>
    <row r="9" spans="1:2" ht="18.600000000000001" thickBot="1" x14ac:dyDescent="0.4">
      <c r="A9" s="15" t="s">
        <v>83</v>
      </c>
    </row>
    <row r="10" spans="1:2" x14ac:dyDescent="0.3">
      <c r="A10" s="3" t="s">
        <v>105</v>
      </c>
      <c r="B10" s="5"/>
    </row>
    <row r="11" spans="1:2" x14ac:dyDescent="0.3">
      <c r="A11" s="14">
        <v>298.14999999999998</v>
      </c>
      <c r="B11" s="8" t="s">
        <v>37</v>
      </c>
    </row>
    <row r="12" spans="1:2" x14ac:dyDescent="0.3">
      <c r="A12" s="18">
        <f>A11-273.15</f>
        <v>25</v>
      </c>
      <c r="B12" s="8" t="s">
        <v>38</v>
      </c>
    </row>
    <row r="13" spans="1:2" x14ac:dyDescent="0.3">
      <c r="A13" s="18">
        <f>(A12*9/5)+32</f>
        <v>77</v>
      </c>
      <c r="B13" s="8" t="s">
        <v>39</v>
      </c>
    </row>
    <row r="14" spans="1:2" x14ac:dyDescent="0.3">
      <c r="A14" s="18">
        <f>A13+459.67</f>
        <v>536.67000000000007</v>
      </c>
      <c r="B14" s="8" t="s">
        <v>17</v>
      </c>
    </row>
    <row r="15" spans="1:2" x14ac:dyDescent="0.3">
      <c r="A15" s="6"/>
      <c r="B15" s="8"/>
    </row>
    <row r="16" spans="1:2" x14ac:dyDescent="0.3">
      <c r="A16" s="19" t="s">
        <v>106</v>
      </c>
      <c r="B16" s="8"/>
    </row>
    <row r="17" spans="1:3" x14ac:dyDescent="0.3">
      <c r="A17" s="17">
        <v>0.1</v>
      </c>
      <c r="B17" s="8" t="s">
        <v>101</v>
      </c>
    </row>
    <row r="18" spans="1:3" ht="15" thickBot="1" x14ac:dyDescent="0.35">
      <c r="A18" s="20">
        <f>1/6242000000000000000</f>
        <v>1.6020506247997438E-19</v>
      </c>
      <c r="B18" s="11" t="s">
        <v>107</v>
      </c>
    </row>
    <row r="19" spans="1:3" ht="15" thickBot="1" x14ac:dyDescent="0.35"/>
    <row r="20" spans="1:3" ht="18" x14ac:dyDescent="0.35">
      <c r="A20" s="16" t="s">
        <v>84</v>
      </c>
      <c r="B20" s="4"/>
      <c r="C20" s="5"/>
    </row>
    <row r="21" spans="1:3" x14ac:dyDescent="0.3">
      <c r="A21" s="6" t="s">
        <v>100</v>
      </c>
      <c r="B21" s="7">
        <v>0.1</v>
      </c>
      <c r="C21" s="8" t="s">
        <v>101</v>
      </c>
    </row>
    <row r="22" spans="1:3" ht="15" thickBot="1" x14ac:dyDescent="0.35">
      <c r="A22" s="9" t="s">
        <v>102</v>
      </c>
      <c r="B22" s="10">
        <f>B21*constants!B15/constants!B17/h_Js</f>
        <v>24179892822261.859</v>
      </c>
      <c r="C22" s="11" t="s">
        <v>103</v>
      </c>
    </row>
    <row r="23" spans="1:3" ht="15" thickBot="1" x14ac:dyDescent="0.35"/>
    <row r="24" spans="1:3" ht="18" x14ac:dyDescent="0.35">
      <c r="A24" s="16" t="s">
        <v>85</v>
      </c>
      <c r="B24" s="4"/>
      <c r="C24" s="5"/>
    </row>
    <row r="25" spans="1:3" x14ac:dyDescent="0.3">
      <c r="A25" s="12" t="s">
        <v>100</v>
      </c>
      <c r="B25" s="7">
        <v>0.1</v>
      </c>
      <c r="C25" s="8" t="s">
        <v>101</v>
      </c>
    </row>
    <row r="26" spans="1:3" ht="15" thickBot="1" x14ac:dyDescent="0.35">
      <c r="A26" s="13" t="s">
        <v>104</v>
      </c>
      <c r="B26" s="10">
        <f>B21*constants!B15/constants!B17/kb_JK</f>
        <v>1160.4522156008277</v>
      </c>
      <c r="C26" s="11" t="s">
        <v>37</v>
      </c>
    </row>
    <row r="27" spans="1:3" ht="15" thickBot="1" x14ac:dyDescent="0.35">
      <c r="A27" s="1"/>
    </row>
    <row r="28" spans="1:3" ht="18" x14ac:dyDescent="0.35">
      <c r="A28" s="16" t="s">
        <v>86</v>
      </c>
      <c r="B28" s="4"/>
      <c r="C28" s="5"/>
    </row>
    <row r="29" spans="1:3" x14ac:dyDescent="0.3">
      <c r="A29" s="6" t="s">
        <v>100</v>
      </c>
      <c r="B29" s="7">
        <v>0.1</v>
      </c>
      <c r="C29" s="8" t="s">
        <v>101</v>
      </c>
    </row>
    <row r="30" spans="1:3" ht="15" thickBot="1" x14ac:dyDescent="0.35">
      <c r="A30" s="9" t="s">
        <v>109</v>
      </c>
      <c r="B30" s="10">
        <f>B21*constants!B15/constants!B17/h_Js/c_cms</f>
        <v>806.55440712460688</v>
      </c>
      <c r="C30" s="11" t="s">
        <v>108</v>
      </c>
    </row>
    <row r="31" spans="1:3" ht="15" thickBot="1" x14ac:dyDescent="0.35"/>
    <row r="32" spans="1:3" ht="18" x14ac:dyDescent="0.35">
      <c r="A32" s="16" t="s">
        <v>87</v>
      </c>
      <c r="B32" s="4"/>
      <c r="C32" s="5"/>
    </row>
    <row r="33" spans="1:4" x14ac:dyDescent="0.3">
      <c r="A33" s="6" t="s">
        <v>102</v>
      </c>
      <c r="B33" s="21">
        <v>24200000000000</v>
      </c>
      <c r="C33" s="8" t="s">
        <v>103</v>
      </c>
    </row>
    <row r="34" spans="1:4" ht="15" thickBot="1" x14ac:dyDescent="0.35">
      <c r="A34" s="9" t="s">
        <v>100</v>
      </c>
      <c r="B34" s="10">
        <f>B33*h_Js</f>
        <v>1.6035089496800001E-20</v>
      </c>
      <c r="C34" s="11" t="s">
        <v>107</v>
      </c>
    </row>
    <row r="35" spans="1:4" ht="15" thickBot="1" x14ac:dyDescent="0.35"/>
    <row r="36" spans="1:4" ht="18" x14ac:dyDescent="0.35">
      <c r="A36" s="16" t="s">
        <v>88</v>
      </c>
      <c r="B36" s="4"/>
      <c r="C36" s="5"/>
    </row>
    <row r="37" spans="1:4" x14ac:dyDescent="0.3">
      <c r="A37" s="6" t="s">
        <v>102</v>
      </c>
      <c r="B37" s="21">
        <v>24200000000000</v>
      </c>
      <c r="C37" s="8" t="s">
        <v>103</v>
      </c>
    </row>
    <row r="38" spans="1:4" ht="15" thickBot="1" x14ac:dyDescent="0.35">
      <c r="A38" s="9" t="s">
        <v>104</v>
      </c>
      <c r="B38" s="10">
        <f>B37*h_Js/kb_JK</f>
        <v>1161.4172082551468</v>
      </c>
      <c r="C38" s="11" t="s">
        <v>37</v>
      </c>
    </row>
    <row r="39" spans="1:4" ht="15" thickBot="1" x14ac:dyDescent="0.35"/>
    <row r="40" spans="1:4" ht="18" x14ac:dyDescent="0.35">
      <c r="A40" s="16" t="s">
        <v>89</v>
      </c>
      <c r="B40" s="4"/>
      <c r="C40" s="5"/>
    </row>
    <row r="41" spans="1:4" x14ac:dyDescent="0.3">
      <c r="A41" s="6" t="s">
        <v>102</v>
      </c>
      <c r="B41" s="21">
        <v>24200000000000</v>
      </c>
      <c r="C41" s="8" t="s">
        <v>103</v>
      </c>
    </row>
    <row r="42" spans="1:4" ht="15" thickBot="1" x14ac:dyDescent="0.35">
      <c r="A42" s="9" t="s">
        <v>109</v>
      </c>
      <c r="B42" s="10">
        <f>B41/c_cms</f>
        <v>807.22511037952791</v>
      </c>
      <c r="C42" s="11" t="s">
        <v>108</v>
      </c>
    </row>
    <row r="43" spans="1:4" ht="15" thickBot="1" x14ac:dyDescent="0.35"/>
    <row r="44" spans="1:4" ht="18" x14ac:dyDescent="0.35">
      <c r="A44" s="16" t="s">
        <v>90</v>
      </c>
      <c r="B44" s="4"/>
      <c r="C44" s="5"/>
    </row>
    <row r="45" spans="1:4" x14ac:dyDescent="0.3">
      <c r="A45" s="6" t="s">
        <v>110</v>
      </c>
      <c r="B45" s="21">
        <v>7.2E-46</v>
      </c>
      <c r="C45" s="8" t="s">
        <v>276</v>
      </c>
    </row>
    <row r="46" spans="1:4" ht="15" thickBot="1" x14ac:dyDescent="0.35">
      <c r="A46" s="9" t="s">
        <v>104</v>
      </c>
      <c r="B46" s="10">
        <f>(h_eVs/2/PI())^2/2/kb_eVK/B45/constants!B17</f>
        <v>0.55937968407661531</v>
      </c>
      <c r="C46" s="11" t="s">
        <v>37</v>
      </c>
      <c r="D46" s="2"/>
    </row>
    <row r="47" spans="1:4" ht="15" thickBot="1" x14ac:dyDescent="0.35"/>
    <row r="48" spans="1:4" ht="18" x14ac:dyDescent="0.35">
      <c r="A48" s="16" t="s">
        <v>91</v>
      </c>
      <c r="B48" s="4"/>
      <c r="C48" s="5"/>
    </row>
    <row r="49" spans="1:3" x14ac:dyDescent="0.3">
      <c r="A49" s="6" t="s">
        <v>104</v>
      </c>
      <c r="B49" s="7">
        <v>1160</v>
      </c>
      <c r="C49" s="8" t="s">
        <v>37</v>
      </c>
    </row>
    <row r="50" spans="1:3" ht="15" thickBot="1" x14ac:dyDescent="0.35">
      <c r="A50" s="9" t="s">
        <v>100</v>
      </c>
      <c r="B50" s="10">
        <f>B49*kb_JK</f>
        <v>1.6015522831999997E-20</v>
      </c>
      <c r="C50" s="11" t="s">
        <v>107</v>
      </c>
    </row>
    <row r="51" spans="1:3" ht="15" thickBot="1" x14ac:dyDescent="0.35"/>
    <row r="52" spans="1:3" ht="18" x14ac:dyDescent="0.35">
      <c r="A52" s="16" t="s">
        <v>92</v>
      </c>
      <c r="B52" s="4"/>
      <c r="C52" s="5"/>
    </row>
    <row r="53" spans="1:3" x14ac:dyDescent="0.3">
      <c r="A53" s="6" t="s">
        <v>104</v>
      </c>
      <c r="B53" s="7">
        <v>1160</v>
      </c>
      <c r="C53" s="8" t="s">
        <v>37</v>
      </c>
    </row>
    <row r="54" spans="1:3" ht="15" thickBot="1" x14ac:dyDescent="0.35">
      <c r="A54" s="9" t="s">
        <v>102</v>
      </c>
      <c r="B54" s="10">
        <f>B53*kb_JK/h_Js</f>
        <v>24170470181145.258</v>
      </c>
      <c r="C54" s="11" t="s">
        <v>103</v>
      </c>
    </row>
    <row r="55" spans="1:3" ht="15" thickBot="1" x14ac:dyDescent="0.35"/>
    <row r="56" spans="1:3" ht="18" x14ac:dyDescent="0.35">
      <c r="A56" s="16" t="s">
        <v>93</v>
      </c>
      <c r="B56" s="4"/>
      <c r="C56" s="5"/>
    </row>
    <row r="57" spans="1:3" x14ac:dyDescent="0.3">
      <c r="A57" s="6" t="s">
        <v>104</v>
      </c>
      <c r="B57" s="7">
        <v>1160</v>
      </c>
      <c r="C57" s="8" t="s">
        <v>37</v>
      </c>
    </row>
    <row r="58" spans="1:3" ht="15" thickBot="1" x14ac:dyDescent="0.35">
      <c r="A58" s="9" t="s">
        <v>109</v>
      </c>
      <c r="B58" s="28">
        <f>B57*kb_JK/h_Js/c_cms</f>
        <v>806.24010164876324</v>
      </c>
      <c r="C58" s="11" t="s">
        <v>279</v>
      </c>
    </row>
    <row r="59" spans="1:3" ht="15" thickBot="1" x14ac:dyDescent="0.35"/>
    <row r="60" spans="1:3" ht="18" x14ac:dyDescent="0.35">
      <c r="A60" s="16" t="s">
        <v>94</v>
      </c>
      <c r="B60" s="4"/>
      <c r="C60" s="5"/>
    </row>
    <row r="61" spans="1:3" x14ac:dyDescent="0.3">
      <c r="A61" s="6" t="s">
        <v>109</v>
      </c>
      <c r="B61" s="7">
        <v>810</v>
      </c>
      <c r="C61" s="8" t="s">
        <v>108</v>
      </c>
    </row>
    <row r="62" spans="1:3" ht="15" thickBot="1" x14ac:dyDescent="0.35">
      <c r="A62" s="9" t="s">
        <v>100</v>
      </c>
      <c r="B62" s="10">
        <f>B61*c_cms*h_Js</f>
        <v>1.6090211175791243E-20</v>
      </c>
      <c r="C62" s="11" t="s">
        <v>107</v>
      </c>
    </row>
    <row r="63" spans="1:3" ht="15" thickBot="1" x14ac:dyDescent="0.35"/>
    <row r="64" spans="1:3" ht="18" x14ac:dyDescent="0.35">
      <c r="A64" s="16" t="s">
        <v>95</v>
      </c>
      <c r="B64" s="4"/>
      <c r="C64" s="5"/>
    </row>
    <row r="65" spans="1:3" x14ac:dyDescent="0.3">
      <c r="A65" s="6" t="s">
        <v>109</v>
      </c>
      <c r="B65" s="7">
        <v>810</v>
      </c>
      <c r="C65" s="8" t="s">
        <v>108</v>
      </c>
    </row>
    <row r="66" spans="1:3" ht="15" thickBot="1" x14ac:dyDescent="0.35">
      <c r="A66" s="9" t="s">
        <v>102</v>
      </c>
      <c r="B66" s="28">
        <f>B65*c_cms</f>
        <v>24283189098000</v>
      </c>
      <c r="C66" s="11" t="s">
        <v>103</v>
      </c>
    </row>
    <row r="67" spans="1:3" ht="15" thickBot="1" x14ac:dyDescent="0.35"/>
    <row r="68" spans="1:3" ht="18" x14ac:dyDescent="0.35">
      <c r="A68" s="16" t="s">
        <v>96</v>
      </c>
      <c r="B68" s="4"/>
      <c r="C68" s="5"/>
    </row>
    <row r="69" spans="1:3" x14ac:dyDescent="0.3">
      <c r="A69" s="6" t="s">
        <v>109</v>
      </c>
      <c r="B69" s="7">
        <v>810</v>
      </c>
      <c r="C69" s="8" t="s">
        <v>108</v>
      </c>
    </row>
    <row r="70" spans="1:3" ht="15" thickBot="1" x14ac:dyDescent="0.35">
      <c r="A70" s="9" t="s">
        <v>110</v>
      </c>
      <c r="B70" s="28">
        <f>(h_eVs/2/PI())^2/2/kb_eVK/B69</f>
        <v>3.1034429993183841E-30</v>
      </c>
      <c r="C70" s="11" t="s">
        <v>276</v>
      </c>
    </row>
    <row r="71" spans="1:3" ht="15" thickBot="1" x14ac:dyDescent="0.35"/>
    <row r="72" spans="1:3" ht="18" x14ac:dyDescent="0.35">
      <c r="A72" s="16" t="s">
        <v>97</v>
      </c>
      <c r="B72" s="4"/>
      <c r="C72" s="5"/>
    </row>
    <row r="73" spans="1:3" x14ac:dyDescent="0.3">
      <c r="A73" s="6" t="s">
        <v>109</v>
      </c>
      <c r="B73" s="7">
        <v>810</v>
      </c>
      <c r="C73" s="8" t="s">
        <v>108</v>
      </c>
    </row>
    <row r="74" spans="1:3" ht="15" thickBot="1" x14ac:dyDescent="0.35">
      <c r="A74" s="9" t="s">
        <v>104</v>
      </c>
      <c r="B74" s="28">
        <f>B73*c_cms*h_Js/kb_JK</f>
        <v>1165.4096566004534</v>
      </c>
      <c r="C74" s="11" t="s">
        <v>37</v>
      </c>
    </row>
    <row r="75" spans="1:3" ht="15" thickBot="1" x14ac:dyDescent="0.35"/>
    <row r="76" spans="1:3" ht="18" x14ac:dyDescent="0.35">
      <c r="A76" s="16" t="s">
        <v>98</v>
      </c>
      <c r="B76" s="4"/>
      <c r="C76" s="5"/>
    </row>
    <row r="77" spans="1:3" x14ac:dyDescent="0.3">
      <c r="A77" s="6" t="s">
        <v>277</v>
      </c>
      <c r="B77" s="7">
        <v>215</v>
      </c>
      <c r="C77" s="8" t="s">
        <v>37</v>
      </c>
    </row>
    <row r="78" spans="1:3" ht="15" thickBot="1" x14ac:dyDescent="0.35">
      <c r="A78" s="9" t="s">
        <v>278</v>
      </c>
      <c r="B78" s="28">
        <f>B77*(PI()/6)^(1/3)</f>
        <v>173.28913505677048</v>
      </c>
      <c r="C78" s="11" t="s">
        <v>37</v>
      </c>
    </row>
    <row r="79" spans="1:3" ht="15" thickBot="1" x14ac:dyDescent="0.35"/>
    <row r="80" spans="1:3" ht="18" x14ac:dyDescent="0.35">
      <c r="A80" s="16" t="s">
        <v>99</v>
      </c>
      <c r="B80" s="4"/>
      <c r="C80" s="5"/>
    </row>
    <row r="81" spans="1:3" x14ac:dyDescent="0.3">
      <c r="A81" s="6" t="s">
        <v>278</v>
      </c>
      <c r="B81" s="7">
        <v>175</v>
      </c>
      <c r="C81" s="8" t="s">
        <v>37</v>
      </c>
    </row>
    <row r="82" spans="1:3" ht="15" thickBot="1" x14ac:dyDescent="0.35">
      <c r="A82" s="9" t="s">
        <v>277</v>
      </c>
      <c r="B82" s="28">
        <f>B81/(PI()/6)^(1/3)</f>
        <v>217.12267181479001</v>
      </c>
      <c r="C82" s="11" t="s">
        <v>37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94F-E007-4BF1-81D0-B5B598FFC5B9}">
  <dimension ref="A1:AH2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7" sqref="G17"/>
    </sheetView>
  </sheetViews>
  <sheetFormatPr defaultRowHeight="14.4" x14ac:dyDescent="0.3"/>
  <cols>
    <col min="1" max="1" width="14.33203125" bestFit="1" customWidth="1"/>
    <col min="2" max="2" width="20.88671875" bestFit="1" customWidth="1"/>
    <col min="3" max="3" width="12" bestFit="1" customWidth="1"/>
    <col min="4" max="4" width="14.5546875" bestFit="1" customWidth="1"/>
    <col min="5" max="5" width="11" bestFit="1" customWidth="1"/>
    <col min="6" max="6" width="9" bestFit="1" customWidth="1"/>
    <col min="7" max="7" width="12" bestFit="1" customWidth="1"/>
    <col min="8" max="8" width="11.6640625" bestFit="1" customWidth="1"/>
    <col min="9" max="9" width="11" bestFit="1" customWidth="1"/>
    <col min="10" max="10" width="14.5546875" bestFit="1" customWidth="1"/>
    <col min="11" max="11" width="10" bestFit="1" customWidth="1"/>
    <col min="12" max="12" width="12.5546875" bestFit="1" customWidth="1"/>
    <col min="13" max="13" width="10" bestFit="1" customWidth="1"/>
    <col min="14" max="14" width="15.33203125" bestFit="1" customWidth="1"/>
    <col min="15" max="15" width="8.33203125" bestFit="1" customWidth="1"/>
    <col min="16" max="16" width="13.44140625" bestFit="1" customWidth="1"/>
    <col min="17" max="17" width="8.33203125" bestFit="1" customWidth="1"/>
    <col min="18" max="18" width="11.44140625" bestFit="1" customWidth="1"/>
    <col min="19" max="19" width="10" bestFit="1" customWidth="1"/>
    <col min="20" max="20" width="11.88671875" bestFit="1" customWidth="1"/>
    <col min="21" max="21" width="10" bestFit="1" customWidth="1"/>
    <col min="22" max="22" width="9.6640625" bestFit="1" customWidth="1"/>
    <col min="23" max="23" width="8.33203125" bestFit="1" customWidth="1"/>
    <col min="24" max="24" width="10.6640625" bestFit="1" customWidth="1"/>
    <col min="25" max="26" width="12" bestFit="1" customWidth="1"/>
    <col min="27" max="27" width="10" bestFit="1" customWidth="1"/>
    <col min="28" max="28" width="14.88671875" bestFit="1" customWidth="1"/>
    <col min="29" max="29" width="8.33203125" bestFit="1" customWidth="1"/>
    <col min="30" max="30" width="5.44140625" bestFit="1" customWidth="1"/>
    <col min="31" max="31" width="8.33203125" bestFit="1" customWidth="1"/>
    <col min="32" max="32" width="5.109375" bestFit="1" customWidth="1"/>
    <col min="33" max="33" width="8.33203125" bestFit="1" customWidth="1"/>
    <col min="34" max="34" width="5.33203125" bestFit="1" customWidth="1"/>
  </cols>
  <sheetData>
    <row r="1" spans="1:34" x14ac:dyDescent="0.3">
      <c r="A1" s="1" t="s">
        <v>3</v>
      </c>
      <c r="B1" s="1" t="s">
        <v>4</v>
      </c>
    </row>
    <row r="2" spans="1:34" x14ac:dyDescent="0.3">
      <c r="A2" t="s">
        <v>5</v>
      </c>
      <c r="B2" t="s">
        <v>6</v>
      </c>
      <c r="C2" s="2">
        <v>6.0221408599999999E+23</v>
      </c>
      <c r="D2" t="s">
        <v>7</v>
      </c>
    </row>
    <row r="3" spans="1:34" x14ac:dyDescent="0.3">
      <c r="A3" t="s">
        <v>8</v>
      </c>
      <c r="B3" t="s">
        <v>9</v>
      </c>
      <c r="C3">
        <v>1</v>
      </c>
      <c r="D3" t="s">
        <v>10</v>
      </c>
      <c r="E3">
        <v>0.98692299999999999</v>
      </c>
      <c r="F3" t="s">
        <v>11</v>
      </c>
      <c r="G3">
        <v>100000</v>
      </c>
      <c r="H3" t="s">
        <v>12</v>
      </c>
      <c r="I3">
        <v>100</v>
      </c>
      <c r="J3" t="s">
        <v>13</v>
      </c>
      <c r="K3">
        <v>0.1</v>
      </c>
      <c r="L3" t="s">
        <v>111</v>
      </c>
      <c r="M3">
        <v>14.5038</v>
      </c>
      <c r="N3" t="s">
        <v>14</v>
      </c>
      <c r="O3">
        <v>750.06200000000001</v>
      </c>
      <c r="P3" t="s">
        <v>15</v>
      </c>
      <c r="Q3">
        <v>750.06200000000001</v>
      </c>
      <c r="R3" t="s">
        <v>16</v>
      </c>
    </row>
    <row r="4" spans="1:34" x14ac:dyDescent="0.3">
      <c r="A4" t="s">
        <v>17</v>
      </c>
      <c r="B4" t="s">
        <v>18</v>
      </c>
      <c r="C4">
        <v>8.3144597999999998</v>
      </c>
      <c r="D4" t="s">
        <v>19</v>
      </c>
      <c r="E4" s="2">
        <v>8.3144598E-3</v>
      </c>
      <c r="F4" t="s">
        <v>20</v>
      </c>
      <c r="G4">
        <v>8.3144597999999998</v>
      </c>
      <c r="H4" t="s">
        <v>21</v>
      </c>
      <c r="I4" s="2">
        <v>8314.4598000000005</v>
      </c>
      <c r="J4" t="s">
        <v>22</v>
      </c>
      <c r="K4">
        <v>8.3144597999999998</v>
      </c>
      <c r="L4" t="s">
        <v>23</v>
      </c>
      <c r="M4">
        <v>8.3144597999999998</v>
      </c>
      <c r="N4" t="s">
        <v>24</v>
      </c>
      <c r="O4" s="2">
        <v>8.3144597999999998E-5</v>
      </c>
      <c r="P4" t="s">
        <v>25</v>
      </c>
      <c r="Q4" s="2">
        <v>8.3144598E-2</v>
      </c>
      <c r="R4" t="s">
        <v>26</v>
      </c>
      <c r="S4">
        <v>62.363576999999999</v>
      </c>
      <c r="T4" t="s">
        <v>27</v>
      </c>
      <c r="U4">
        <v>1.9872036</v>
      </c>
      <c r="V4" t="s">
        <v>28</v>
      </c>
      <c r="W4" s="2">
        <v>1.9872036000000001E-3</v>
      </c>
      <c r="X4" t="s">
        <v>29</v>
      </c>
      <c r="Y4">
        <v>8.2057337999999994E-2</v>
      </c>
      <c r="Z4" t="s">
        <v>30</v>
      </c>
      <c r="AA4">
        <v>82.057338000000001</v>
      </c>
      <c r="AB4" t="s">
        <v>31</v>
      </c>
      <c r="AC4" s="2">
        <v>8.6173302999999999E-5</v>
      </c>
      <c r="AD4" t="s">
        <v>32</v>
      </c>
      <c r="AE4" s="2">
        <v>3.1668104999999999E-6</v>
      </c>
      <c r="AF4" t="s">
        <v>33</v>
      </c>
      <c r="AG4" s="2">
        <v>3.1668104999999999E-6</v>
      </c>
      <c r="AH4" t="s">
        <v>34</v>
      </c>
    </row>
    <row r="5" spans="1:34" x14ac:dyDescent="0.3">
      <c r="A5" t="s">
        <v>35</v>
      </c>
      <c r="B5" t="s">
        <v>36</v>
      </c>
      <c r="C5">
        <v>298.14999999999998</v>
      </c>
      <c r="D5" t="s">
        <v>37</v>
      </c>
      <c r="E5">
        <f>298.15-273.15</f>
        <v>25</v>
      </c>
      <c r="F5" t="s">
        <v>38</v>
      </c>
      <c r="G5">
        <f>298.15*9/5</f>
        <v>536.66999999999996</v>
      </c>
      <c r="H5" t="s">
        <v>17</v>
      </c>
      <c r="I5">
        <f>298.15*9/5-459.67</f>
        <v>76.999999999999943</v>
      </c>
      <c r="J5" t="s">
        <v>39</v>
      </c>
    </row>
    <row r="6" spans="1:34" x14ac:dyDescent="0.3">
      <c r="A6" t="s">
        <v>40</v>
      </c>
      <c r="B6" t="s">
        <v>41</v>
      </c>
      <c r="C6">
        <f>R_m3PamolK*T0_K/P0_Pa</f>
        <v>2.4789561893699998E-2</v>
      </c>
      <c r="D6" t="s">
        <v>42</v>
      </c>
      <c r="E6" s="2">
        <f>V0_m3*B72/B71</f>
        <v>24789.561893699996</v>
      </c>
      <c r="F6" t="s">
        <v>43</v>
      </c>
      <c r="G6" s="2">
        <f>V0_m3*B73/B71</f>
        <v>24789.561893699996</v>
      </c>
      <c r="H6" t="s">
        <v>44</v>
      </c>
      <c r="I6" s="2">
        <f>V0_m3*B74/B71</f>
        <v>24.789561893699997</v>
      </c>
      <c r="J6" t="s">
        <v>45</v>
      </c>
    </row>
    <row r="7" spans="1:34" x14ac:dyDescent="0.3">
      <c r="A7" t="s">
        <v>47</v>
      </c>
      <c r="B7" t="s">
        <v>49</v>
      </c>
      <c r="C7">
        <v>299792458</v>
      </c>
      <c r="D7" t="s">
        <v>50</v>
      </c>
      <c r="E7" s="2">
        <v>29979245800</v>
      </c>
      <c r="F7" t="s">
        <v>51</v>
      </c>
    </row>
    <row r="8" spans="1:34" x14ac:dyDescent="0.3">
      <c r="A8" t="s">
        <v>52</v>
      </c>
      <c r="B8" t="s">
        <v>53</v>
      </c>
      <c r="C8">
        <v>1.6021766208000001E-19</v>
      </c>
      <c r="D8" t="s">
        <v>38</v>
      </c>
    </row>
    <row r="9" spans="1:34" x14ac:dyDescent="0.3">
      <c r="A9" t="s">
        <v>54</v>
      </c>
      <c r="B9" t="s">
        <v>55</v>
      </c>
      <c r="C9" s="2">
        <v>6.6260700399999999E-34</v>
      </c>
      <c r="D9" t="s">
        <v>56</v>
      </c>
      <c r="E9" s="2">
        <v>6.6260700400000004E-37</v>
      </c>
      <c r="F9" t="s">
        <v>57</v>
      </c>
      <c r="G9" s="2">
        <v>4.1356676619999999E-15</v>
      </c>
      <c r="H9" t="s">
        <v>58</v>
      </c>
      <c r="I9" s="2">
        <v>1.519829846E-16</v>
      </c>
      <c r="J9" t="s">
        <v>59</v>
      </c>
      <c r="K9" s="2">
        <v>1.519829846E-16</v>
      </c>
      <c r="L9" t="s">
        <v>60</v>
      </c>
    </row>
    <row r="10" spans="1:34" x14ac:dyDescent="0.3">
      <c r="A10" t="s">
        <v>61</v>
      </c>
      <c r="B10" t="s">
        <v>62</v>
      </c>
      <c r="C10" s="2">
        <v>1.3806485199999999E-23</v>
      </c>
      <c r="D10" t="s">
        <v>63</v>
      </c>
      <c r="E10" s="2">
        <v>1.3806485199999999E-26</v>
      </c>
      <c r="F10" t="s">
        <v>64</v>
      </c>
      <c r="G10" s="2">
        <v>8.6173302999999999E-5</v>
      </c>
      <c r="H10" t="s">
        <v>32</v>
      </c>
      <c r="I10" s="2">
        <v>3.297623E-24</v>
      </c>
      <c r="J10" t="s">
        <v>65</v>
      </c>
      <c r="K10" s="2">
        <v>3.2976229999999998E-27</v>
      </c>
      <c r="L10" t="s">
        <v>66</v>
      </c>
      <c r="M10" s="2">
        <v>3.1668104999999999E-6</v>
      </c>
      <c r="N10" t="s">
        <v>33</v>
      </c>
      <c r="O10" s="2">
        <v>3.1668104999999999E-6</v>
      </c>
      <c r="P10" t="s">
        <v>34</v>
      </c>
    </row>
    <row r="11" spans="1:34" x14ac:dyDescent="0.3">
      <c r="A11" t="s">
        <v>67</v>
      </c>
      <c r="B11" t="s">
        <v>68</v>
      </c>
      <c r="C11" s="2">
        <f>0.00054857990907*B79/B81</f>
        <v>9.1095966301893065E-31</v>
      </c>
      <c r="D11" t="s">
        <v>69</v>
      </c>
      <c r="E11" s="2">
        <f>0.00054857990907*B80/B81</f>
        <v>9.1095966301893082E-28</v>
      </c>
      <c r="F11" t="s">
        <v>70</v>
      </c>
      <c r="G11" s="2">
        <v>5.4857990907000004E-4</v>
      </c>
      <c r="H11" t="s">
        <v>71</v>
      </c>
    </row>
    <row r="12" spans="1:34" x14ac:dyDescent="0.3">
      <c r="A12" t="s">
        <v>72</v>
      </c>
      <c r="B12" t="s">
        <v>73</v>
      </c>
      <c r="C12" s="2">
        <f>1.007276466879*B79/B81</f>
        <v>1.6726610210544671E-27</v>
      </c>
      <c r="D12" t="s">
        <v>69</v>
      </c>
      <c r="E12" s="2">
        <f>1.007276466879*B80/B81</f>
        <v>1.6726610210544667E-24</v>
      </c>
      <c r="F12" t="s">
        <v>70</v>
      </c>
      <c r="G12">
        <v>1.007276466879</v>
      </c>
      <c r="H12" t="s">
        <v>71</v>
      </c>
    </row>
    <row r="13" spans="1:34" ht="15" thickBot="1" x14ac:dyDescent="0.35"/>
    <row r="14" spans="1:34" x14ac:dyDescent="0.3">
      <c r="A14" s="3" t="s">
        <v>266</v>
      </c>
      <c r="B14" s="5"/>
    </row>
    <row r="15" spans="1:34" x14ac:dyDescent="0.3">
      <c r="A15" s="6" t="s">
        <v>107</v>
      </c>
      <c r="B15" s="8">
        <v>1</v>
      </c>
    </row>
    <row r="16" spans="1:34" x14ac:dyDescent="0.3">
      <c r="A16" s="6" t="s">
        <v>220</v>
      </c>
      <c r="B16" s="22">
        <v>1E-3</v>
      </c>
    </row>
    <row r="17" spans="1:2" x14ac:dyDescent="0.3">
      <c r="A17" s="6" t="s">
        <v>101</v>
      </c>
      <c r="B17" s="2">
        <v>6.2415090744607498E+18</v>
      </c>
    </row>
    <row r="18" spans="1:2" x14ac:dyDescent="0.3">
      <c r="A18" s="6" t="s">
        <v>221</v>
      </c>
      <c r="B18" s="8">
        <v>0.239006</v>
      </c>
    </row>
    <row r="19" spans="1:2" x14ac:dyDescent="0.3">
      <c r="A19" s="6" t="s">
        <v>222</v>
      </c>
      <c r="B19" s="8">
        <v>2.3900599999999999E-4</v>
      </c>
    </row>
    <row r="20" spans="1:2" x14ac:dyDescent="0.3">
      <c r="A20" s="6" t="s">
        <v>265</v>
      </c>
      <c r="B20" s="8">
        <v>101.33</v>
      </c>
    </row>
    <row r="21" spans="1:2" x14ac:dyDescent="0.3">
      <c r="A21" s="6" t="s">
        <v>223</v>
      </c>
      <c r="B21" s="8">
        <v>2293710448690590</v>
      </c>
    </row>
    <row r="22" spans="1:2" ht="15" thickBot="1" x14ac:dyDescent="0.35">
      <c r="A22" s="9" t="s">
        <v>224</v>
      </c>
      <c r="B22" s="11">
        <v>2293710448690590</v>
      </c>
    </row>
    <row r="23" spans="1:2" ht="15" thickBot="1" x14ac:dyDescent="0.35"/>
    <row r="24" spans="1:2" x14ac:dyDescent="0.3">
      <c r="A24" s="3" t="s">
        <v>267</v>
      </c>
      <c r="B24" s="5"/>
    </row>
    <row r="25" spans="1:2" x14ac:dyDescent="0.3">
      <c r="A25" s="6" t="s">
        <v>225</v>
      </c>
      <c r="B25" s="8">
        <v>1</v>
      </c>
    </row>
    <row r="26" spans="1:2" x14ac:dyDescent="0.3">
      <c r="A26" s="6" t="s">
        <v>226</v>
      </c>
      <c r="B26" s="22">
        <v>1E-3</v>
      </c>
    </row>
    <row r="27" spans="1:2" x14ac:dyDescent="0.3">
      <c r="A27" s="6" t="s">
        <v>227</v>
      </c>
      <c r="B27" s="8">
        <v>0.239006</v>
      </c>
    </row>
    <row r="28" spans="1:2" x14ac:dyDescent="0.3">
      <c r="A28" s="6" t="s">
        <v>228</v>
      </c>
      <c r="B28" s="8">
        <v>2.3900599999999999E-4</v>
      </c>
    </row>
    <row r="29" spans="1:2" x14ac:dyDescent="0.3">
      <c r="A29" s="6" t="s">
        <v>229</v>
      </c>
      <c r="B29" s="8">
        <f>6242000000000000000/6.02214086E+23</f>
        <v>1.0365084685182871E-5</v>
      </c>
    </row>
    <row r="30" spans="1:2" x14ac:dyDescent="0.3">
      <c r="A30" s="6" t="s">
        <v>230</v>
      </c>
      <c r="B30" s="8">
        <f>2293710448690590/6.02214086E+23</f>
        <v>3.808795745589036E-9</v>
      </c>
    </row>
    <row r="31" spans="1:2" x14ac:dyDescent="0.3">
      <c r="A31" s="6" t="s">
        <v>231</v>
      </c>
      <c r="B31" s="8">
        <f>2293710448690590/6.02214086E+23</f>
        <v>3.808795745589036E-9</v>
      </c>
    </row>
    <row r="32" spans="1:2" x14ac:dyDescent="0.3">
      <c r="A32" s="6" t="s">
        <v>232</v>
      </c>
      <c r="B32" s="8">
        <f>6242000000000000000/6.02214086E+23</f>
        <v>1.0365084685182871E-5</v>
      </c>
    </row>
    <row r="33" spans="1:2" x14ac:dyDescent="0.3">
      <c r="A33" s="6" t="s">
        <v>233</v>
      </c>
      <c r="B33" s="8">
        <f>2293710448690590/6.02214086E+23</f>
        <v>3.808795745589036E-9</v>
      </c>
    </row>
    <row r="34" spans="1:2" ht="15" thickBot="1" x14ac:dyDescent="0.35">
      <c r="A34" s="9" t="s">
        <v>234</v>
      </c>
      <c r="B34" s="11">
        <f>2293710448690590/6.02214086E+23</f>
        <v>3.808795745589036E-9</v>
      </c>
    </row>
    <row r="35" spans="1:2" ht="15" thickBot="1" x14ac:dyDescent="0.35"/>
    <row r="36" spans="1:2" x14ac:dyDescent="0.3">
      <c r="A36" s="3" t="s">
        <v>268</v>
      </c>
      <c r="B36" s="5"/>
    </row>
    <row r="37" spans="1:2" x14ac:dyDescent="0.3">
      <c r="A37" s="6" t="s">
        <v>235</v>
      </c>
      <c r="B37" s="22">
        <v>1000000000000</v>
      </c>
    </row>
    <row r="38" spans="1:2" x14ac:dyDescent="0.3">
      <c r="A38" s="6" t="s">
        <v>236</v>
      </c>
      <c r="B38" s="22">
        <v>1000000000</v>
      </c>
    </row>
    <row r="39" spans="1:2" x14ac:dyDescent="0.3">
      <c r="A39" s="6" t="s">
        <v>237</v>
      </c>
      <c r="B39" s="22">
        <v>1000</v>
      </c>
    </row>
    <row r="40" spans="1:2" x14ac:dyDescent="0.3">
      <c r="A40" s="6" t="s">
        <v>238</v>
      </c>
      <c r="B40" s="8">
        <v>1</v>
      </c>
    </row>
    <row r="41" spans="1:2" x14ac:dyDescent="0.3">
      <c r="A41" s="6" t="s">
        <v>239</v>
      </c>
      <c r="B41" s="8">
        <f>1/60</f>
        <v>1.6666666666666666E-2</v>
      </c>
    </row>
    <row r="42" spans="1:2" x14ac:dyDescent="0.3">
      <c r="A42" s="6" t="s">
        <v>240</v>
      </c>
      <c r="B42" s="8">
        <f>1/3600</f>
        <v>2.7777777777777778E-4</v>
      </c>
    </row>
    <row r="43" spans="1:2" x14ac:dyDescent="0.3">
      <c r="A43" s="6" t="s">
        <v>241</v>
      </c>
      <c r="B43" s="8">
        <f>1/3600/24</f>
        <v>1.1574074074074073E-5</v>
      </c>
    </row>
    <row r="44" spans="1:2" ht="15" thickBot="1" x14ac:dyDescent="0.35">
      <c r="A44" s="9" t="s">
        <v>242</v>
      </c>
      <c r="B44" s="11">
        <f>1/3600/24/365.25</f>
        <v>3.1688087814028947E-8</v>
      </c>
    </row>
    <row r="45" spans="1:2" ht="15" thickBot="1" x14ac:dyDescent="0.35"/>
    <row r="46" spans="1:2" x14ac:dyDescent="0.3">
      <c r="A46" s="3" t="s">
        <v>269</v>
      </c>
      <c r="B46" s="5"/>
    </row>
    <row r="47" spans="1:2" x14ac:dyDescent="0.3">
      <c r="A47" s="6" t="s">
        <v>243</v>
      </c>
      <c r="B47" s="8">
        <v>1</v>
      </c>
    </row>
    <row r="48" spans="1:2" x14ac:dyDescent="0.3">
      <c r="A48" s="6" t="s">
        <v>244</v>
      </c>
      <c r="B48" s="22">
        <v>6.0221408599999999E+23</v>
      </c>
    </row>
    <row r="49" spans="1:2" x14ac:dyDescent="0.3">
      <c r="A49" s="6" t="s">
        <v>245</v>
      </c>
      <c r="B49" s="22">
        <v>6.0221408599999999E+23</v>
      </c>
    </row>
    <row r="50" spans="1:2" ht="15" thickBot="1" x14ac:dyDescent="0.35">
      <c r="A50" s="9" t="s">
        <v>246</v>
      </c>
      <c r="B50" s="23">
        <v>6.0221408599999999E+23</v>
      </c>
    </row>
    <row r="51" spans="1:2" ht="15" thickBot="1" x14ac:dyDescent="0.35">
      <c r="A51" s="24"/>
      <c r="B51" s="25"/>
    </row>
    <row r="52" spans="1:2" x14ac:dyDescent="0.3">
      <c r="A52" s="26" t="s">
        <v>270</v>
      </c>
      <c r="B52" s="27"/>
    </row>
    <row r="53" spans="1:2" x14ac:dyDescent="0.3">
      <c r="A53" s="6" t="s">
        <v>247</v>
      </c>
      <c r="B53" s="8">
        <v>1</v>
      </c>
    </row>
    <row r="54" spans="1:2" x14ac:dyDescent="0.3">
      <c r="A54" s="6" t="s">
        <v>248</v>
      </c>
      <c r="B54" s="8">
        <v>100</v>
      </c>
    </row>
    <row r="55" spans="1:2" x14ac:dyDescent="0.3">
      <c r="A55" s="6" t="s">
        <v>249</v>
      </c>
      <c r="B55" s="22">
        <v>1000000000</v>
      </c>
    </row>
    <row r="56" spans="1:2" x14ac:dyDescent="0.3">
      <c r="A56" s="6" t="s">
        <v>250</v>
      </c>
      <c r="B56" s="22">
        <v>1E-3</v>
      </c>
    </row>
    <row r="57" spans="1:2" x14ac:dyDescent="0.3">
      <c r="A57" s="6" t="s">
        <v>251</v>
      </c>
      <c r="B57" s="8">
        <v>39.370100000000001</v>
      </c>
    </row>
    <row r="58" spans="1:2" x14ac:dyDescent="0.3">
      <c r="A58" s="6" t="s">
        <v>252</v>
      </c>
      <c r="B58" s="8">
        <v>3.28084</v>
      </c>
    </row>
    <row r="59" spans="1:2" x14ac:dyDescent="0.3">
      <c r="A59" s="6" t="s">
        <v>253</v>
      </c>
      <c r="B59" s="8">
        <f>1/1609.344</f>
        <v>6.2137119223733392E-4</v>
      </c>
    </row>
    <row r="60" spans="1:2" ht="15" thickBot="1" x14ac:dyDescent="0.35">
      <c r="A60" s="9" t="s">
        <v>254</v>
      </c>
      <c r="B60" s="23">
        <v>10000000000</v>
      </c>
    </row>
    <row r="61" spans="1:2" ht="15" thickBot="1" x14ac:dyDescent="0.35">
      <c r="B61" s="2"/>
    </row>
    <row r="62" spans="1:2" x14ac:dyDescent="0.3">
      <c r="A62" s="3" t="s">
        <v>271</v>
      </c>
      <c r="B62" s="27"/>
    </row>
    <row r="63" spans="1:2" x14ac:dyDescent="0.3">
      <c r="A63" s="6" t="s">
        <v>255</v>
      </c>
      <c r="B63" s="8">
        <v>1</v>
      </c>
    </row>
    <row r="64" spans="1:2" x14ac:dyDescent="0.3">
      <c r="A64" s="6" t="s">
        <v>256</v>
      </c>
      <c r="B64" s="22">
        <v>10000</v>
      </c>
    </row>
    <row r="65" spans="1:2" x14ac:dyDescent="0.3">
      <c r="A65" s="6" t="s">
        <v>257</v>
      </c>
      <c r="B65" s="22">
        <v>1E+20</v>
      </c>
    </row>
    <row r="66" spans="1:2" x14ac:dyDescent="0.3">
      <c r="A66" s="6" t="s">
        <v>258</v>
      </c>
      <c r="B66" s="22">
        <v>9.9999999999999995E-7</v>
      </c>
    </row>
    <row r="67" spans="1:2" x14ac:dyDescent="0.3">
      <c r="A67" s="6" t="s">
        <v>259</v>
      </c>
      <c r="B67" s="8">
        <v>1550</v>
      </c>
    </row>
    <row r="68" spans="1:2" ht="15" thickBot="1" x14ac:dyDescent="0.35">
      <c r="A68" s="9" t="s">
        <v>260</v>
      </c>
      <c r="B68" s="11">
        <v>10.7639</v>
      </c>
    </row>
    <row r="69" spans="1:2" ht="15" thickBot="1" x14ac:dyDescent="0.35"/>
    <row r="70" spans="1:2" x14ac:dyDescent="0.3">
      <c r="A70" s="3" t="s">
        <v>272</v>
      </c>
      <c r="B70" s="5"/>
    </row>
    <row r="71" spans="1:2" x14ac:dyDescent="0.3">
      <c r="A71" s="6" t="s">
        <v>42</v>
      </c>
      <c r="B71" s="8">
        <v>1</v>
      </c>
    </row>
    <row r="72" spans="1:2" x14ac:dyDescent="0.3">
      <c r="A72" s="6" t="s">
        <v>43</v>
      </c>
      <c r="B72" s="22">
        <v>1000000</v>
      </c>
    </row>
    <row r="73" spans="1:2" x14ac:dyDescent="0.3">
      <c r="A73" s="6" t="s">
        <v>44</v>
      </c>
      <c r="B73" s="22">
        <v>1000000</v>
      </c>
    </row>
    <row r="74" spans="1:2" x14ac:dyDescent="0.3">
      <c r="A74" s="6" t="s">
        <v>45</v>
      </c>
      <c r="B74" s="22">
        <v>1000</v>
      </c>
    </row>
    <row r="75" spans="1:2" x14ac:dyDescent="0.3">
      <c r="A75" s="6" t="s">
        <v>261</v>
      </c>
      <c r="B75" s="8">
        <v>61023.7</v>
      </c>
    </row>
    <row r="76" spans="1:2" ht="15" thickBot="1" x14ac:dyDescent="0.35">
      <c r="A76" s="9" t="s">
        <v>262</v>
      </c>
      <c r="B76" s="11">
        <v>35.314700000000002</v>
      </c>
    </row>
    <row r="77" spans="1:2" ht="15" thickBot="1" x14ac:dyDescent="0.35"/>
    <row r="78" spans="1:2" x14ac:dyDescent="0.3">
      <c r="A78" s="3" t="s">
        <v>273</v>
      </c>
      <c r="B78" s="5"/>
    </row>
    <row r="79" spans="1:2" x14ac:dyDescent="0.3">
      <c r="A79" s="6" t="s">
        <v>69</v>
      </c>
      <c r="B79" s="8">
        <v>1</v>
      </c>
    </row>
    <row r="80" spans="1:2" x14ac:dyDescent="0.3">
      <c r="A80" s="6" t="s">
        <v>70</v>
      </c>
      <c r="B80" s="22">
        <v>1000</v>
      </c>
    </row>
    <row r="81" spans="1:2" x14ac:dyDescent="0.3">
      <c r="A81" s="6" t="s">
        <v>71</v>
      </c>
      <c r="B81" s="22">
        <v>6.0219999999999999E+26</v>
      </c>
    </row>
    <row r="82" spans="1:2" ht="15" thickBot="1" x14ac:dyDescent="0.35">
      <c r="A82" s="9" t="s">
        <v>263</v>
      </c>
      <c r="B82" s="11">
        <v>2.2046199999999998</v>
      </c>
    </row>
    <row r="83" spans="1:2" ht="15" thickBot="1" x14ac:dyDescent="0.35"/>
    <row r="84" spans="1:2" x14ac:dyDescent="0.3">
      <c r="A84" s="3" t="s">
        <v>274</v>
      </c>
      <c r="B84" s="5"/>
    </row>
    <row r="85" spans="1:2" x14ac:dyDescent="0.3">
      <c r="A85" s="6" t="s">
        <v>12</v>
      </c>
      <c r="B85" s="8">
        <v>1</v>
      </c>
    </row>
    <row r="86" spans="1:2" x14ac:dyDescent="0.3">
      <c r="A86" s="6" t="s">
        <v>13</v>
      </c>
      <c r="B86" s="22">
        <v>1E-3</v>
      </c>
    </row>
    <row r="87" spans="1:2" x14ac:dyDescent="0.3">
      <c r="A87" s="6" t="s">
        <v>111</v>
      </c>
      <c r="B87" s="22">
        <v>9.9999999999999995E-7</v>
      </c>
    </row>
    <row r="88" spans="1:2" x14ac:dyDescent="0.3">
      <c r="A88" s="6" t="s">
        <v>11</v>
      </c>
      <c r="B88" s="22">
        <v>9.8692300000000007E-6</v>
      </c>
    </row>
    <row r="89" spans="1:2" x14ac:dyDescent="0.3">
      <c r="A89" s="6" t="s">
        <v>10</v>
      </c>
      <c r="B89" s="22">
        <v>1.0000000000000001E-5</v>
      </c>
    </row>
    <row r="90" spans="1:2" x14ac:dyDescent="0.3">
      <c r="A90" s="6" t="s">
        <v>15</v>
      </c>
      <c r="B90" s="8">
        <v>7.5006200000000004E-3</v>
      </c>
    </row>
    <row r="91" spans="1:2" x14ac:dyDescent="0.3">
      <c r="A91" s="6" t="s">
        <v>264</v>
      </c>
      <c r="B91" s="8">
        <v>7.5006200000000004E-3</v>
      </c>
    </row>
    <row r="92" spans="1:2" ht="15" thickBot="1" x14ac:dyDescent="0.35">
      <c r="A92" s="9" t="s">
        <v>14</v>
      </c>
      <c r="B92" s="11">
        <v>1.45038E-4</v>
      </c>
    </row>
    <row r="93" spans="1:2" ht="15" thickBot="1" x14ac:dyDescent="0.35"/>
    <row r="94" spans="1:2" x14ac:dyDescent="0.3">
      <c r="A94" s="3" t="s">
        <v>48</v>
      </c>
      <c r="B94" s="5"/>
    </row>
    <row r="95" spans="1:2" x14ac:dyDescent="0.3">
      <c r="A95" s="6" t="s">
        <v>46</v>
      </c>
      <c r="B95" s="8">
        <v>1.008</v>
      </c>
    </row>
    <row r="96" spans="1:2" x14ac:dyDescent="0.3">
      <c r="A96" s="6" t="s">
        <v>112</v>
      </c>
      <c r="B96" s="8">
        <v>4.0026020000000004</v>
      </c>
    </row>
    <row r="97" spans="1:2" x14ac:dyDescent="0.3">
      <c r="A97" s="6" t="s">
        <v>113</v>
      </c>
      <c r="B97" s="8">
        <v>6.9379999999999997</v>
      </c>
    </row>
    <row r="98" spans="1:2" x14ac:dyDescent="0.3">
      <c r="A98" s="6" t="s">
        <v>114</v>
      </c>
      <c r="B98" s="8">
        <v>9.0121830999999997</v>
      </c>
    </row>
    <row r="99" spans="1:2" x14ac:dyDescent="0.3">
      <c r="A99" s="6" t="s">
        <v>115</v>
      </c>
      <c r="B99" s="8">
        <v>10.805999999999999</v>
      </c>
    </row>
    <row r="100" spans="1:2" x14ac:dyDescent="0.3">
      <c r="A100" s="6" t="s">
        <v>38</v>
      </c>
      <c r="B100" s="8">
        <v>12.0116</v>
      </c>
    </row>
    <row r="101" spans="1:2" x14ac:dyDescent="0.3">
      <c r="A101" s="6" t="s">
        <v>116</v>
      </c>
      <c r="B101" s="8">
        <v>14.007</v>
      </c>
    </row>
    <row r="102" spans="1:2" x14ac:dyDescent="0.3">
      <c r="A102" s="6" t="s">
        <v>2</v>
      </c>
      <c r="B102" s="8">
        <v>15.999000000000001</v>
      </c>
    </row>
    <row r="103" spans="1:2" x14ac:dyDescent="0.3">
      <c r="A103" s="6" t="s">
        <v>39</v>
      </c>
      <c r="B103" s="8">
        <v>18.998403159999999</v>
      </c>
    </row>
    <row r="104" spans="1:2" x14ac:dyDescent="0.3">
      <c r="A104" s="6" t="s">
        <v>117</v>
      </c>
      <c r="B104" s="8">
        <v>20.1797</v>
      </c>
    </row>
    <row r="105" spans="1:2" x14ac:dyDescent="0.3">
      <c r="A105" s="6" t="s">
        <v>5</v>
      </c>
      <c r="B105" s="8">
        <v>22.989769280000001</v>
      </c>
    </row>
    <row r="106" spans="1:2" x14ac:dyDescent="0.3">
      <c r="A106" s="6" t="s">
        <v>118</v>
      </c>
      <c r="B106" s="8">
        <v>24.305</v>
      </c>
    </row>
    <row r="107" spans="1:2" x14ac:dyDescent="0.3">
      <c r="A107" s="6" t="s">
        <v>119</v>
      </c>
      <c r="B107" s="8">
        <v>26.981538499999999</v>
      </c>
    </row>
    <row r="108" spans="1:2" x14ac:dyDescent="0.3">
      <c r="A108" s="6" t="s">
        <v>120</v>
      </c>
      <c r="B108" s="8">
        <v>28.085000000000001</v>
      </c>
    </row>
    <row r="109" spans="1:2" x14ac:dyDescent="0.3">
      <c r="A109" s="6" t="s">
        <v>121</v>
      </c>
      <c r="B109" s="8">
        <v>30.973762000000001</v>
      </c>
    </row>
    <row r="110" spans="1:2" x14ac:dyDescent="0.3">
      <c r="A110" s="6" t="s">
        <v>122</v>
      </c>
      <c r="B110" s="8">
        <v>32.06</v>
      </c>
    </row>
    <row r="111" spans="1:2" x14ac:dyDescent="0.3">
      <c r="A111" s="6" t="s">
        <v>123</v>
      </c>
      <c r="B111" s="8">
        <v>35.450000000000003</v>
      </c>
    </row>
    <row r="112" spans="1:2" x14ac:dyDescent="0.3">
      <c r="A112" s="6" t="s">
        <v>124</v>
      </c>
      <c r="B112" s="8">
        <v>39.948</v>
      </c>
    </row>
    <row r="113" spans="1:2" x14ac:dyDescent="0.3">
      <c r="A113" s="6" t="s">
        <v>37</v>
      </c>
      <c r="B113" s="8">
        <v>39.098300000000002</v>
      </c>
    </row>
    <row r="114" spans="1:2" x14ac:dyDescent="0.3">
      <c r="A114" s="6" t="s">
        <v>0</v>
      </c>
      <c r="B114" s="8">
        <v>40.078000000000003</v>
      </c>
    </row>
    <row r="115" spans="1:2" x14ac:dyDescent="0.3">
      <c r="A115" s="6" t="s">
        <v>125</v>
      </c>
      <c r="B115" s="8">
        <v>44.955908000000001</v>
      </c>
    </row>
    <row r="116" spans="1:2" x14ac:dyDescent="0.3">
      <c r="A116" s="6" t="s">
        <v>1</v>
      </c>
      <c r="B116" s="8">
        <v>47.866999999999997</v>
      </c>
    </row>
    <row r="117" spans="1:2" x14ac:dyDescent="0.3">
      <c r="A117" s="6" t="s">
        <v>126</v>
      </c>
      <c r="B117" s="8">
        <v>50.941499999999998</v>
      </c>
    </row>
    <row r="118" spans="1:2" x14ac:dyDescent="0.3">
      <c r="A118" s="6" t="s">
        <v>127</v>
      </c>
      <c r="B118" s="8">
        <v>51.996099999999998</v>
      </c>
    </row>
    <row r="119" spans="1:2" x14ac:dyDescent="0.3">
      <c r="A119" s="6" t="s">
        <v>128</v>
      </c>
      <c r="B119" s="8">
        <v>54.938043999999998</v>
      </c>
    </row>
    <row r="120" spans="1:2" x14ac:dyDescent="0.3">
      <c r="A120" s="6" t="s">
        <v>129</v>
      </c>
      <c r="B120" s="8">
        <v>55.844999999999999</v>
      </c>
    </row>
    <row r="121" spans="1:2" x14ac:dyDescent="0.3">
      <c r="A121" s="6" t="s">
        <v>130</v>
      </c>
      <c r="B121" s="8">
        <v>58.933194</v>
      </c>
    </row>
    <row r="122" spans="1:2" x14ac:dyDescent="0.3">
      <c r="A122" s="6" t="s">
        <v>131</v>
      </c>
      <c r="B122" s="8">
        <v>58.693399999999997</v>
      </c>
    </row>
    <row r="123" spans="1:2" x14ac:dyDescent="0.3">
      <c r="A123" s="6" t="s">
        <v>132</v>
      </c>
      <c r="B123" s="8">
        <v>63.545999999999999</v>
      </c>
    </row>
    <row r="124" spans="1:2" x14ac:dyDescent="0.3">
      <c r="A124" s="6" t="s">
        <v>133</v>
      </c>
      <c r="B124" s="8">
        <v>65.38</v>
      </c>
    </row>
    <row r="125" spans="1:2" x14ac:dyDescent="0.3">
      <c r="A125" s="6" t="s">
        <v>134</v>
      </c>
      <c r="B125" s="8">
        <v>69.722999999999999</v>
      </c>
    </row>
    <row r="126" spans="1:2" x14ac:dyDescent="0.3">
      <c r="A126" s="6" t="s">
        <v>135</v>
      </c>
      <c r="B126" s="8">
        <v>72.63</v>
      </c>
    </row>
    <row r="127" spans="1:2" x14ac:dyDescent="0.3">
      <c r="A127" s="6" t="s">
        <v>136</v>
      </c>
      <c r="B127" s="8">
        <v>74.921594999999996</v>
      </c>
    </row>
    <row r="128" spans="1:2" x14ac:dyDescent="0.3">
      <c r="A128" s="6" t="s">
        <v>137</v>
      </c>
      <c r="B128" s="8">
        <v>78.971000000000004</v>
      </c>
    </row>
    <row r="129" spans="1:2" x14ac:dyDescent="0.3">
      <c r="A129" s="6" t="s">
        <v>138</v>
      </c>
      <c r="B129" s="8">
        <v>79.900999999999996</v>
      </c>
    </row>
    <row r="130" spans="1:2" x14ac:dyDescent="0.3">
      <c r="A130" s="6" t="s">
        <v>139</v>
      </c>
      <c r="B130" s="8">
        <v>83.798000000000002</v>
      </c>
    </row>
    <row r="131" spans="1:2" x14ac:dyDescent="0.3">
      <c r="A131" s="6" t="s">
        <v>140</v>
      </c>
      <c r="B131" s="8">
        <v>85.467799999999997</v>
      </c>
    </row>
    <row r="132" spans="1:2" x14ac:dyDescent="0.3">
      <c r="A132" s="6" t="s">
        <v>141</v>
      </c>
      <c r="B132" s="8">
        <v>87.62</v>
      </c>
    </row>
    <row r="133" spans="1:2" x14ac:dyDescent="0.3">
      <c r="A133" s="6" t="s">
        <v>142</v>
      </c>
      <c r="B133" s="8">
        <v>88.905839999999998</v>
      </c>
    </row>
    <row r="134" spans="1:2" x14ac:dyDescent="0.3">
      <c r="A134" s="6" t="s">
        <v>143</v>
      </c>
      <c r="B134" s="8">
        <v>91.224000000000004</v>
      </c>
    </row>
    <row r="135" spans="1:2" x14ac:dyDescent="0.3">
      <c r="A135" s="6" t="s">
        <v>144</v>
      </c>
      <c r="B135" s="8">
        <v>92.906369999999995</v>
      </c>
    </row>
    <row r="136" spans="1:2" x14ac:dyDescent="0.3">
      <c r="A136" s="6" t="s">
        <v>145</v>
      </c>
      <c r="B136" s="8">
        <v>95.95</v>
      </c>
    </row>
    <row r="137" spans="1:2" x14ac:dyDescent="0.3">
      <c r="A137" s="6" t="s">
        <v>146</v>
      </c>
      <c r="B137" s="8">
        <v>98</v>
      </c>
    </row>
    <row r="138" spans="1:2" x14ac:dyDescent="0.3">
      <c r="A138" s="6" t="s">
        <v>147</v>
      </c>
      <c r="B138" s="8">
        <v>101.07</v>
      </c>
    </row>
    <row r="139" spans="1:2" x14ac:dyDescent="0.3">
      <c r="A139" s="6" t="s">
        <v>148</v>
      </c>
      <c r="B139" s="8">
        <v>102.9055</v>
      </c>
    </row>
    <row r="140" spans="1:2" x14ac:dyDescent="0.3">
      <c r="A140" s="6" t="s">
        <v>149</v>
      </c>
      <c r="B140" s="8">
        <v>106.42</v>
      </c>
    </row>
    <row r="141" spans="1:2" x14ac:dyDescent="0.3">
      <c r="A141" s="6" t="s">
        <v>150</v>
      </c>
      <c r="B141" s="8">
        <v>107.8682</v>
      </c>
    </row>
    <row r="142" spans="1:2" x14ac:dyDescent="0.3">
      <c r="A142" s="6" t="s">
        <v>151</v>
      </c>
      <c r="B142" s="8">
        <v>112.414</v>
      </c>
    </row>
    <row r="143" spans="1:2" x14ac:dyDescent="0.3">
      <c r="A143" s="6" t="s">
        <v>152</v>
      </c>
      <c r="B143" s="8">
        <v>114.818</v>
      </c>
    </row>
    <row r="144" spans="1:2" x14ac:dyDescent="0.3">
      <c r="A144" s="6" t="s">
        <v>153</v>
      </c>
      <c r="B144" s="8">
        <v>118.71</v>
      </c>
    </row>
    <row r="145" spans="1:2" x14ac:dyDescent="0.3">
      <c r="A145" s="6" t="s">
        <v>154</v>
      </c>
      <c r="B145" s="8">
        <v>121.76</v>
      </c>
    </row>
    <row r="146" spans="1:2" x14ac:dyDescent="0.3">
      <c r="A146" s="6" t="s">
        <v>155</v>
      </c>
      <c r="B146" s="8">
        <v>127.6</v>
      </c>
    </row>
    <row r="147" spans="1:2" x14ac:dyDescent="0.3">
      <c r="A147" s="6" t="s">
        <v>156</v>
      </c>
      <c r="B147" s="8">
        <v>126.90447</v>
      </c>
    </row>
    <row r="148" spans="1:2" x14ac:dyDescent="0.3">
      <c r="A148" s="6" t="s">
        <v>157</v>
      </c>
      <c r="B148" s="8">
        <v>131.29300000000001</v>
      </c>
    </row>
    <row r="149" spans="1:2" x14ac:dyDescent="0.3">
      <c r="A149" s="6" t="s">
        <v>158</v>
      </c>
      <c r="B149" s="8">
        <v>132.905452</v>
      </c>
    </row>
    <row r="150" spans="1:2" x14ac:dyDescent="0.3">
      <c r="A150" s="6" t="s">
        <v>159</v>
      </c>
      <c r="B150" s="8">
        <v>137.327</v>
      </c>
    </row>
    <row r="151" spans="1:2" x14ac:dyDescent="0.3">
      <c r="A151" s="6" t="s">
        <v>160</v>
      </c>
      <c r="B151" s="8">
        <v>138.90547000000001</v>
      </c>
    </row>
    <row r="152" spans="1:2" x14ac:dyDescent="0.3">
      <c r="A152" s="6" t="s">
        <v>161</v>
      </c>
      <c r="B152" s="8">
        <v>140.11600000000001</v>
      </c>
    </row>
    <row r="153" spans="1:2" x14ac:dyDescent="0.3">
      <c r="A153" s="6" t="s">
        <v>162</v>
      </c>
      <c r="B153" s="8">
        <v>140.90765999999999</v>
      </c>
    </row>
    <row r="154" spans="1:2" x14ac:dyDescent="0.3">
      <c r="A154" s="6" t="s">
        <v>163</v>
      </c>
      <c r="B154" s="8">
        <v>144.24199999999999</v>
      </c>
    </row>
    <row r="155" spans="1:2" x14ac:dyDescent="0.3">
      <c r="A155" s="6" t="s">
        <v>164</v>
      </c>
      <c r="B155" s="8">
        <v>145</v>
      </c>
    </row>
    <row r="156" spans="1:2" x14ac:dyDescent="0.3">
      <c r="A156" s="6" t="s">
        <v>165</v>
      </c>
      <c r="B156" s="8">
        <v>150.36000000000001</v>
      </c>
    </row>
    <row r="157" spans="1:2" x14ac:dyDescent="0.3">
      <c r="A157" s="6" t="s">
        <v>166</v>
      </c>
      <c r="B157" s="8">
        <v>151.964</v>
      </c>
    </row>
    <row r="158" spans="1:2" x14ac:dyDescent="0.3">
      <c r="A158" s="6" t="s">
        <v>167</v>
      </c>
      <c r="B158" s="8">
        <v>157.25</v>
      </c>
    </row>
    <row r="159" spans="1:2" x14ac:dyDescent="0.3">
      <c r="A159" s="6" t="s">
        <v>168</v>
      </c>
      <c r="B159" s="8">
        <v>158.92535000000001</v>
      </c>
    </row>
    <row r="160" spans="1:2" x14ac:dyDescent="0.3">
      <c r="A160" s="6" t="s">
        <v>169</v>
      </c>
      <c r="B160" s="8">
        <v>162.5</v>
      </c>
    </row>
    <row r="161" spans="1:2" x14ac:dyDescent="0.3">
      <c r="A161" s="6" t="s">
        <v>170</v>
      </c>
      <c r="B161" s="8">
        <v>164.93033</v>
      </c>
    </row>
    <row r="162" spans="1:2" x14ac:dyDescent="0.3">
      <c r="A162" s="6" t="s">
        <v>171</v>
      </c>
      <c r="B162" s="8">
        <v>167.25899999999999</v>
      </c>
    </row>
    <row r="163" spans="1:2" x14ac:dyDescent="0.3">
      <c r="A163" s="6" t="s">
        <v>172</v>
      </c>
      <c r="B163" s="8">
        <v>168.93422000000001</v>
      </c>
    </row>
    <row r="164" spans="1:2" x14ac:dyDescent="0.3">
      <c r="A164" s="6" t="s">
        <v>173</v>
      </c>
      <c r="B164" s="8">
        <v>173.054</v>
      </c>
    </row>
    <row r="165" spans="1:2" x14ac:dyDescent="0.3">
      <c r="A165" s="6" t="s">
        <v>174</v>
      </c>
      <c r="B165" s="8">
        <v>174.96680000000001</v>
      </c>
    </row>
    <row r="166" spans="1:2" x14ac:dyDescent="0.3">
      <c r="A166" s="6" t="s">
        <v>175</v>
      </c>
      <c r="B166" s="8">
        <v>178.49</v>
      </c>
    </row>
    <row r="167" spans="1:2" x14ac:dyDescent="0.3">
      <c r="A167" s="6" t="s">
        <v>176</v>
      </c>
      <c r="B167" s="8">
        <v>180.94788</v>
      </c>
    </row>
    <row r="168" spans="1:2" x14ac:dyDescent="0.3">
      <c r="A168" s="6" t="s">
        <v>177</v>
      </c>
      <c r="B168" s="8">
        <v>183.84</v>
      </c>
    </row>
    <row r="169" spans="1:2" x14ac:dyDescent="0.3">
      <c r="A169" s="6" t="s">
        <v>178</v>
      </c>
      <c r="B169" s="8">
        <v>186.20699999999999</v>
      </c>
    </row>
    <row r="170" spans="1:2" x14ac:dyDescent="0.3">
      <c r="A170" s="6" t="s">
        <v>179</v>
      </c>
      <c r="B170" s="8">
        <v>190.23</v>
      </c>
    </row>
    <row r="171" spans="1:2" x14ac:dyDescent="0.3">
      <c r="A171" s="6" t="s">
        <v>180</v>
      </c>
      <c r="B171" s="8">
        <v>192.21700000000001</v>
      </c>
    </row>
    <row r="172" spans="1:2" x14ac:dyDescent="0.3">
      <c r="A172" s="6" t="s">
        <v>181</v>
      </c>
      <c r="B172" s="8">
        <v>195.084</v>
      </c>
    </row>
    <row r="173" spans="1:2" x14ac:dyDescent="0.3">
      <c r="A173" s="6" t="s">
        <v>182</v>
      </c>
      <c r="B173" s="8">
        <v>196.96656899999999</v>
      </c>
    </row>
    <row r="174" spans="1:2" x14ac:dyDescent="0.3">
      <c r="A174" s="6" t="s">
        <v>183</v>
      </c>
      <c r="B174" s="8">
        <v>200.59200000000001</v>
      </c>
    </row>
    <row r="175" spans="1:2" x14ac:dyDescent="0.3">
      <c r="A175" s="6" t="s">
        <v>184</v>
      </c>
      <c r="B175" s="8">
        <v>204.38200000000001</v>
      </c>
    </row>
    <row r="176" spans="1:2" x14ac:dyDescent="0.3">
      <c r="A176" s="6" t="s">
        <v>185</v>
      </c>
      <c r="B176" s="8">
        <v>207.2</v>
      </c>
    </row>
    <row r="177" spans="1:2" x14ac:dyDescent="0.3">
      <c r="A177" s="6" t="s">
        <v>186</v>
      </c>
      <c r="B177" s="8">
        <v>208.9804</v>
      </c>
    </row>
    <row r="178" spans="1:2" x14ac:dyDescent="0.3">
      <c r="A178" s="6" t="s">
        <v>187</v>
      </c>
      <c r="B178" s="8">
        <v>209</v>
      </c>
    </row>
    <row r="179" spans="1:2" x14ac:dyDescent="0.3">
      <c r="A179" s="6" t="s">
        <v>188</v>
      </c>
      <c r="B179" s="8">
        <v>210</v>
      </c>
    </row>
    <row r="180" spans="1:2" x14ac:dyDescent="0.3">
      <c r="A180" s="6" t="s">
        <v>189</v>
      </c>
      <c r="B180" s="8">
        <v>222</v>
      </c>
    </row>
    <row r="181" spans="1:2" x14ac:dyDescent="0.3">
      <c r="A181" s="6" t="s">
        <v>190</v>
      </c>
      <c r="B181" s="8">
        <v>223</v>
      </c>
    </row>
    <row r="182" spans="1:2" x14ac:dyDescent="0.3">
      <c r="A182" s="6" t="s">
        <v>191</v>
      </c>
      <c r="B182" s="8">
        <v>226</v>
      </c>
    </row>
    <row r="183" spans="1:2" x14ac:dyDescent="0.3">
      <c r="A183" s="6" t="s">
        <v>192</v>
      </c>
      <c r="B183" s="8">
        <v>227</v>
      </c>
    </row>
    <row r="184" spans="1:2" x14ac:dyDescent="0.3">
      <c r="A184" s="6" t="s">
        <v>193</v>
      </c>
      <c r="B184" s="8">
        <v>232.0377</v>
      </c>
    </row>
    <row r="185" spans="1:2" x14ac:dyDescent="0.3">
      <c r="A185" s="6" t="s">
        <v>12</v>
      </c>
      <c r="B185" s="8">
        <v>231.03587999999999</v>
      </c>
    </row>
    <row r="186" spans="1:2" x14ac:dyDescent="0.3">
      <c r="A186" s="6" t="s">
        <v>194</v>
      </c>
      <c r="B186" s="8">
        <v>238.02891</v>
      </c>
    </row>
    <row r="187" spans="1:2" x14ac:dyDescent="0.3">
      <c r="A187" s="6" t="s">
        <v>195</v>
      </c>
      <c r="B187" s="8">
        <v>237</v>
      </c>
    </row>
    <row r="188" spans="1:2" x14ac:dyDescent="0.3">
      <c r="A188" s="6" t="s">
        <v>196</v>
      </c>
      <c r="B188" s="8">
        <v>244</v>
      </c>
    </row>
    <row r="189" spans="1:2" x14ac:dyDescent="0.3">
      <c r="A189" s="6" t="s">
        <v>197</v>
      </c>
      <c r="B189" s="8">
        <v>243</v>
      </c>
    </row>
    <row r="190" spans="1:2" x14ac:dyDescent="0.3">
      <c r="A190" s="6" t="s">
        <v>198</v>
      </c>
      <c r="B190" s="8">
        <v>247</v>
      </c>
    </row>
    <row r="191" spans="1:2" x14ac:dyDescent="0.3">
      <c r="A191" s="6" t="s">
        <v>199</v>
      </c>
      <c r="B191" s="8">
        <v>247</v>
      </c>
    </row>
    <row r="192" spans="1:2" x14ac:dyDescent="0.3">
      <c r="A192" s="6" t="s">
        <v>200</v>
      </c>
      <c r="B192" s="8">
        <v>251</v>
      </c>
    </row>
    <row r="193" spans="1:2" x14ac:dyDescent="0.3">
      <c r="A193" s="6" t="s">
        <v>201</v>
      </c>
      <c r="B193" s="8">
        <v>252</v>
      </c>
    </row>
    <row r="194" spans="1:2" x14ac:dyDescent="0.3">
      <c r="A194" s="6" t="s">
        <v>202</v>
      </c>
      <c r="B194" s="8">
        <v>257</v>
      </c>
    </row>
    <row r="195" spans="1:2" x14ac:dyDescent="0.3">
      <c r="A195" s="6" t="s">
        <v>203</v>
      </c>
      <c r="B195" s="8">
        <v>258</v>
      </c>
    </row>
    <row r="196" spans="1:2" x14ac:dyDescent="0.3">
      <c r="A196" s="6" t="s">
        <v>204</v>
      </c>
      <c r="B196" s="8">
        <v>259</v>
      </c>
    </row>
    <row r="197" spans="1:2" x14ac:dyDescent="0.3">
      <c r="A197" s="6" t="s">
        <v>205</v>
      </c>
      <c r="B197" s="8">
        <v>262</v>
      </c>
    </row>
    <row r="198" spans="1:2" x14ac:dyDescent="0.3">
      <c r="A198" s="6" t="s">
        <v>206</v>
      </c>
      <c r="B198" s="8">
        <v>267</v>
      </c>
    </row>
    <row r="199" spans="1:2" x14ac:dyDescent="0.3">
      <c r="A199" s="6" t="s">
        <v>207</v>
      </c>
      <c r="B199" s="8">
        <v>268</v>
      </c>
    </row>
    <row r="200" spans="1:2" x14ac:dyDescent="0.3">
      <c r="A200" s="6" t="s">
        <v>208</v>
      </c>
      <c r="B200" s="8">
        <v>271</v>
      </c>
    </row>
    <row r="201" spans="1:2" x14ac:dyDescent="0.3">
      <c r="A201" s="6" t="s">
        <v>209</v>
      </c>
      <c r="B201" s="8">
        <v>272</v>
      </c>
    </row>
    <row r="202" spans="1:2" x14ac:dyDescent="0.3">
      <c r="A202" s="6" t="s">
        <v>210</v>
      </c>
      <c r="B202" s="8">
        <v>270</v>
      </c>
    </row>
    <row r="203" spans="1:2" x14ac:dyDescent="0.3">
      <c r="A203" s="6" t="s">
        <v>211</v>
      </c>
      <c r="B203" s="8">
        <v>276</v>
      </c>
    </row>
    <row r="204" spans="1:2" x14ac:dyDescent="0.3">
      <c r="A204" s="6" t="s">
        <v>212</v>
      </c>
      <c r="B204" s="8">
        <v>281</v>
      </c>
    </row>
    <row r="205" spans="1:2" x14ac:dyDescent="0.3">
      <c r="A205" s="6" t="s">
        <v>213</v>
      </c>
      <c r="B205" s="8">
        <v>280</v>
      </c>
    </row>
    <row r="206" spans="1:2" x14ac:dyDescent="0.3">
      <c r="A206" s="6" t="s">
        <v>214</v>
      </c>
      <c r="B206" s="8">
        <v>285</v>
      </c>
    </row>
    <row r="207" spans="1:2" x14ac:dyDescent="0.3">
      <c r="A207" s="6" t="s">
        <v>215</v>
      </c>
      <c r="B207" s="8">
        <v>284</v>
      </c>
    </row>
    <row r="208" spans="1:2" x14ac:dyDescent="0.3">
      <c r="A208" s="6" t="s">
        <v>216</v>
      </c>
      <c r="B208" s="8">
        <v>289</v>
      </c>
    </row>
    <row r="209" spans="1:2" x14ac:dyDescent="0.3">
      <c r="A209" s="6" t="s">
        <v>217</v>
      </c>
      <c r="B209" s="8">
        <v>288</v>
      </c>
    </row>
    <row r="210" spans="1:2" x14ac:dyDescent="0.3">
      <c r="A210" s="6" t="s">
        <v>218</v>
      </c>
      <c r="B210" s="8">
        <v>293</v>
      </c>
    </row>
    <row r="211" spans="1:2" ht="15" thickBot="1" x14ac:dyDescent="0.35">
      <c r="A211" s="9" t="s">
        <v>219</v>
      </c>
      <c r="B211" s="11">
        <v>294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54</vt:i4>
      </vt:variant>
    </vt:vector>
  </HeadingPairs>
  <TitlesOfParts>
    <vt:vector size="57" baseType="lpstr">
      <vt:lpstr>ans</vt:lpstr>
      <vt:lpstr>test_constants</vt:lpstr>
      <vt:lpstr>constants</vt:lpstr>
      <vt:lpstr>c_cms</vt:lpstr>
      <vt:lpstr>c_ms</vt:lpstr>
      <vt:lpstr>e_C</vt:lpstr>
      <vt:lpstr>h_Ehs</vt:lpstr>
      <vt:lpstr>h_eVs</vt:lpstr>
      <vt:lpstr>h_Has</vt:lpstr>
      <vt:lpstr>h_Js</vt:lpstr>
      <vt:lpstr>h_kJs</vt:lpstr>
      <vt:lpstr>kb_calK</vt:lpstr>
      <vt:lpstr>kb_EhK</vt:lpstr>
      <vt:lpstr>kb_eVK</vt:lpstr>
      <vt:lpstr>kb_HaK</vt:lpstr>
      <vt:lpstr>kb_JK</vt:lpstr>
      <vt:lpstr>kb_kcalK</vt:lpstr>
      <vt:lpstr>kb_kJK</vt:lpstr>
      <vt:lpstr>m_e_amu</vt:lpstr>
      <vt:lpstr>m_e_g</vt:lpstr>
      <vt:lpstr>m_e_kg</vt:lpstr>
      <vt:lpstr>m_p_amu</vt:lpstr>
      <vt:lpstr>m_p_g</vt:lpstr>
      <vt:lpstr>m_p_kg</vt:lpstr>
      <vt:lpstr>Na_</vt:lpstr>
      <vt:lpstr>P0_atm</vt:lpstr>
      <vt:lpstr>P0_bar</vt:lpstr>
      <vt:lpstr>P0_kPa</vt:lpstr>
      <vt:lpstr>P0_mmHg</vt:lpstr>
      <vt:lpstr>P0_MPa</vt:lpstr>
      <vt:lpstr>P0_Pa</vt:lpstr>
      <vt:lpstr>P0_psi</vt:lpstr>
      <vt:lpstr>P0_Torr</vt:lpstr>
      <vt:lpstr>R_calmolK</vt:lpstr>
      <vt:lpstr>R_cm3atmmolK</vt:lpstr>
      <vt:lpstr>R_cm3kPamolK</vt:lpstr>
      <vt:lpstr>R_cm3MPamolK</vt:lpstr>
      <vt:lpstr>R_EhK</vt:lpstr>
      <vt:lpstr>R_eVK</vt:lpstr>
      <vt:lpstr>R_HaK</vt:lpstr>
      <vt:lpstr>R_JmolK</vt:lpstr>
      <vt:lpstr>R_kcalmolK</vt:lpstr>
      <vt:lpstr>R_kJmolK</vt:lpstr>
      <vt:lpstr>R_LatmmolK</vt:lpstr>
      <vt:lpstr>R_LbarmolK</vt:lpstr>
      <vt:lpstr>R_LPamol</vt:lpstr>
      <vt:lpstr>R_LtorrmolK</vt:lpstr>
      <vt:lpstr>R_m3barmolK</vt:lpstr>
      <vt:lpstr>R_m3PamolK</vt:lpstr>
      <vt:lpstr>T0_C</vt:lpstr>
      <vt:lpstr>T0_F</vt:lpstr>
      <vt:lpstr>T0_K</vt:lpstr>
      <vt:lpstr>T0_R</vt:lpstr>
      <vt:lpstr>V0_cm3</vt:lpstr>
      <vt:lpstr>V0_L</vt:lpstr>
      <vt:lpstr>V0_m3</vt:lpstr>
      <vt:lpstr>V0_ml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2019-07-30T18:47:43Z</dcterms:created>
  <dcterms:modified xsi:type="dcterms:W3CDTF">2020-09-03T02:48:56Z</dcterms:modified>
</cp:coreProperties>
</file>