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chikov\Documents\InvestAnalysis\"/>
    </mc:Choice>
  </mc:AlternateContent>
  <xr:revisionPtr revIDLastSave="0" documentId="8_{9D37F12D-9CDC-4EAA-9FBD-B558CC8AB1A2}" xr6:coauthVersionLast="47" xr6:coauthVersionMax="47" xr10:uidLastSave="{00000000-0000-0000-0000-000000000000}"/>
  <bookViews>
    <workbookView xWindow="-110" yWindow="-110" windowWidth="19420" windowHeight="10420" xr2:uid="{691E12E1-15F9-4162-946B-0DDCDA2183E0}"/>
  </bookViews>
  <sheets>
    <sheet name="Multipliers" sheetId="7" r:id="rId1"/>
    <sheet name="Implied Price Calculation" sheetId="6" r:id="rId2"/>
    <sheet name="WACC" sheetId="5" r:id="rId3"/>
    <sheet name="FCF" sheetId="3" r:id="rId4"/>
    <sheet name="Non Working Capital" sheetId="4" r:id="rId5"/>
    <sheet name="Fixed Assets" sheetId="2" r:id="rId6"/>
    <sheet name="Data" sheetId="1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/>
  <c r="C17" i="6"/>
  <c r="D7" i="6"/>
  <c r="E18" i="7"/>
  <c r="E17" i="7"/>
  <c r="E8" i="7"/>
  <c r="E11" i="7" s="1"/>
  <c r="E14" i="7"/>
  <c r="E13" i="7"/>
  <c r="E10" i="7"/>
  <c r="K17" i="6"/>
  <c r="J17" i="6"/>
  <c r="H17" i="6"/>
  <c r="G17" i="6" s="1"/>
  <c r="C22" i="6"/>
  <c r="C21" i="6"/>
  <c r="C25" i="6"/>
  <c r="D4" i="6"/>
  <c r="E4" i="6"/>
  <c r="F4" i="6"/>
  <c r="G4" i="6"/>
  <c r="H4" i="6"/>
  <c r="I4" i="6"/>
  <c r="C4" i="6"/>
  <c r="B18" i="3"/>
  <c r="C24" i="5"/>
  <c r="C23" i="5"/>
  <c r="C19" i="5"/>
  <c r="C22" i="5"/>
  <c r="C15" i="5"/>
  <c r="C13" i="5"/>
  <c r="C10" i="5"/>
  <c r="C9" i="5"/>
  <c r="C6" i="5"/>
  <c r="C8" i="5"/>
  <c r="C5" i="5"/>
  <c r="B17" i="3"/>
  <c r="G3" i="3"/>
  <c r="H3" i="3" s="1"/>
  <c r="G7" i="3"/>
  <c r="G12" i="3" s="1"/>
  <c r="H7" i="3"/>
  <c r="I7" i="3"/>
  <c r="H12" i="3"/>
  <c r="I12" i="3"/>
  <c r="G13" i="3"/>
  <c r="H13" i="3"/>
  <c r="I13" i="3"/>
  <c r="G16" i="3"/>
  <c r="H16" i="3"/>
  <c r="I16" i="3" s="1"/>
  <c r="G27" i="3"/>
  <c r="H27" i="3"/>
  <c r="I27" i="3"/>
  <c r="G28" i="3"/>
  <c r="H28" i="3"/>
  <c r="I28" i="3"/>
  <c r="G3" i="2"/>
  <c r="I11" i="2"/>
  <c r="I14" i="2"/>
  <c r="G11" i="2"/>
  <c r="H11" i="2"/>
  <c r="G14" i="2"/>
  <c r="H14" i="2"/>
  <c r="F14" i="2"/>
  <c r="D16" i="3"/>
  <c r="E16" i="3" s="1"/>
  <c r="F16" i="3" s="1"/>
  <c r="C16" i="3"/>
  <c r="B16" i="3"/>
  <c r="C13" i="3"/>
  <c r="D13" i="3"/>
  <c r="E13" i="3"/>
  <c r="F13" i="3"/>
  <c r="B13" i="3"/>
  <c r="C12" i="3"/>
  <c r="D12" i="3"/>
  <c r="C7" i="3"/>
  <c r="D7" i="3"/>
  <c r="E7" i="3"/>
  <c r="E12" i="3" s="1"/>
  <c r="F7" i="3"/>
  <c r="F12" i="3" s="1"/>
  <c r="B7" i="3"/>
  <c r="B12" i="3" s="1"/>
  <c r="C28" i="3"/>
  <c r="D28" i="3"/>
  <c r="E28" i="3"/>
  <c r="F28" i="3"/>
  <c r="B28" i="3"/>
  <c r="C18" i="1"/>
  <c r="D18" i="1"/>
  <c r="E18" i="1"/>
  <c r="B18" i="1"/>
  <c r="B3" i="3"/>
  <c r="C3" i="3" s="1"/>
  <c r="D3" i="3" s="1"/>
  <c r="C27" i="3"/>
  <c r="D27" i="3"/>
  <c r="E27" i="3"/>
  <c r="F27" i="3"/>
  <c r="B27" i="3"/>
  <c r="C17" i="1"/>
  <c r="D17" i="1"/>
  <c r="E17" i="1"/>
  <c r="B17" i="1"/>
  <c r="C16" i="1"/>
  <c r="D16" i="1"/>
  <c r="E16" i="1"/>
  <c r="B16" i="1"/>
  <c r="C14" i="2"/>
  <c r="D14" i="2"/>
  <c r="E14" i="2"/>
  <c r="B14" i="2"/>
  <c r="B3" i="2"/>
  <c r="B5" i="2" s="1"/>
  <c r="F11" i="2"/>
  <c r="B11" i="2"/>
  <c r="C11" i="2"/>
  <c r="D11" i="2"/>
  <c r="E11" i="2"/>
  <c r="B31" i="1"/>
  <c r="B13" i="1"/>
  <c r="B11" i="1"/>
  <c r="B15" i="1" s="1"/>
  <c r="B4" i="1"/>
  <c r="B3" i="1"/>
  <c r="B2" i="1"/>
  <c r="F19" i="6" l="1"/>
  <c r="F18" i="6" s="1"/>
  <c r="C18" i="6"/>
  <c r="C19" i="6" s="1"/>
  <c r="G7" i="6"/>
  <c r="E7" i="6"/>
  <c r="F7" i="6"/>
  <c r="E15" i="7"/>
  <c r="H7" i="6"/>
  <c r="I7" i="6"/>
  <c r="C17" i="3"/>
  <c r="C15" i="3" s="1"/>
  <c r="B15" i="3"/>
  <c r="I3" i="3"/>
  <c r="H4" i="3"/>
  <c r="H5" i="3"/>
  <c r="G4" i="3"/>
  <c r="G5" i="3" s="1"/>
  <c r="G5" i="2"/>
  <c r="G4" i="2"/>
  <c r="G6" i="2" s="1"/>
  <c r="H3" i="2" s="1"/>
  <c r="C4" i="3"/>
  <c r="C5" i="3" s="1"/>
  <c r="E3" i="3"/>
  <c r="D4" i="3"/>
  <c r="D5" i="3" s="1"/>
  <c r="B4" i="3"/>
  <c r="B5" i="3" s="1"/>
  <c r="B4" i="2"/>
  <c r="B6" i="2" s="1"/>
  <c r="C3" i="2" s="1"/>
  <c r="B12" i="1"/>
  <c r="B14" i="1"/>
  <c r="C15" i="6" l="1"/>
  <c r="F21" i="6"/>
  <c r="F22" i="6" s="1"/>
  <c r="C20" i="6"/>
  <c r="C24" i="6" s="1"/>
  <c r="C26" i="6" s="1"/>
  <c r="C27" i="6" s="1"/>
  <c r="F17" i="6" s="1"/>
  <c r="D17" i="3"/>
  <c r="D15" i="3" s="1"/>
  <c r="D14" i="3" s="1"/>
  <c r="C14" i="3"/>
  <c r="G6" i="3"/>
  <c r="G9" i="3" s="1"/>
  <c r="H6" i="3"/>
  <c r="H9" i="3" s="1"/>
  <c r="I4" i="3"/>
  <c r="I5" i="3"/>
  <c r="H5" i="2"/>
  <c r="H4" i="2"/>
  <c r="H6" i="2" s="1"/>
  <c r="I3" i="2" s="1"/>
  <c r="D6" i="3"/>
  <c r="D9" i="3" s="1"/>
  <c r="B6" i="3"/>
  <c r="B9" i="3" s="1"/>
  <c r="C6" i="3"/>
  <c r="C9" i="3" s="1"/>
  <c r="F3" i="3"/>
  <c r="E4" i="3"/>
  <c r="E5" i="3" s="1"/>
  <c r="C4" i="2"/>
  <c r="C5" i="2"/>
  <c r="C6" i="2" s="1"/>
  <c r="D3" i="2" s="1"/>
  <c r="D4" i="2" s="1"/>
  <c r="E17" i="3" l="1"/>
  <c r="F17" i="3"/>
  <c r="E15" i="3"/>
  <c r="E14" i="3" s="1"/>
  <c r="G8" i="3"/>
  <c r="G10" i="3"/>
  <c r="G11" i="3" s="1"/>
  <c r="H8" i="3"/>
  <c r="H10" i="3"/>
  <c r="H11" i="3" s="1"/>
  <c r="I6" i="3"/>
  <c r="I9" i="3" s="1"/>
  <c r="I4" i="2"/>
  <c r="I6" i="2" s="1"/>
  <c r="I5" i="2"/>
  <c r="C8" i="3"/>
  <c r="C10" i="3"/>
  <c r="C11" i="3" s="1"/>
  <c r="C18" i="3" s="1"/>
  <c r="B8" i="3"/>
  <c r="B10" i="3"/>
  <c r="B11" i="3" s="1"/>
  <c r="D10" i="3"/>
  <c r="D11" i="3" s="1"/>
  <c r="D18" i="3" s="1"/>
  <c r="D8" i="3"/>
  <c r="E6" i="3"/>
  <c r="E9" i="3" s="1"/>
  <c r="F4" i="3"/>
  <c r="F5" i="3" s="1"/>
  <c r="D5" i="2"/>
  <c r="D6" i="2"/>
  <c r="E3" i="2" s="1"/>
  <c r="E5" i="2" s="1"/>
  <c r="F15" i="3" l="1"/>
  <c r="F14" i="3" s="1"/>
  <c r="G17" i="3"/>
  <c r="I8" i="3"/>
  <c r="I10" i="3"/>
  <c r="I11" i="3" s="1"/>
  <c r="F6" i="3"/>
  <c r="F9" i="3" s="1"/>
  <c r="E10" i="3"/>
  <c r="E11" i="3" s="1"/>
  <c r="E18" i="3" s="1"/>
  <c r="E8" i="3"/>
  <c r="E4" i="2"/>
  <c r="E6" i="2"/>
  <c r="F3" i="2" s="1"/>
  <c r="F5" i="2" s="1"/>
  <c r="F4" i="2"/>
  <c r="H17" i="3" l="1"/>
  <c r="G15" i="3"/>
  <c r="G14" i="3" s="1"/>
  <c r="G18" i="3" s="1"/>
  <c r="F8" i="3"/>
  <c r="F10" i="3"/>
  <c r="F11" i="3" s="1"/>
  <c r="F18" i="3" s="1"/>
  <c r="F6" i="2"/>
  <c r="I17" i="3" l="1"/>
  <c r="I15" i="3" s="1"/>
  <c r="H15" i="3"/>
  <c r="H14" i="3" s="1"/>
  <c r="H18" i="3" s="1"/>
  <c r="I14" i="3" l="1"/>
  <c r="I18" i="3" s="1"/>
</calcChain>
</file>

<file path=xl/sharedStrings.xml><?xml version="1.0" encoding="utf-8"?>
<sst xmlns="http://schemas.openxmlformats.org/spreadsheetml/2006/main" count="113" uniqueCount="92">
  <si>
    <t>Indicator</t>
  </si>
  <si>
    <t>Total current assets</t>
  </si>
  <si>
    <t>Total non current assets</t>
  </si>
  <si>
    <t>Assets</t>
  </si>
  <si>
    <t>Total current liabilities</t>
  </si>
  <si>
    <t>Total non current liabilities</t>
  </si>
  <si>
    <t>Revenue</t>
  </si>
  <si>
    <t>Gross profit</t>
  </si>
  <si>
    <t>Operational profit</t>
  </si>
  <si>
    <t>Profit before taxation</t>
  </si>
  <si>
    <t>Net profit (loss)</t>
  </si>
  <si>
    <t>Operating cash flow</t>
  </si>
  <si>
    <t>Investment cash flow</t>
  </si>
  <si>
    <t>Financial cash flow</t>
  </si>
  <si>
    <t>Total debt</t>
  </si>
  <si>
    <t>Net debt</t>
  </si>
  <si>
    <t>Depreciation</t>
  </si>
  <si>
    <t>Assumptions</t>
  </si>
  <si>
    <t>Year</t>
  </si>
  <si>
    <t>Revenue Growth</t>
  </si>
  <si>
    <t>Fixed Assets Schedule</t>
  </si>
  <si>
    <t>Beginning PP&amp;E</t>
  </si>
  <si>
    <t>D&amp;A</t>
  </si>
  <si>
    <t>CapEx</t>
  </si>
  <si>
    <t>D&amp;A as a percentage of Beginning PP&amp;E</t>
  </si>
  <si>
    <t>CapEx as a percentage of Beginning PP&amp;E</t>
  </si>
  <si>
    <t>R&amp;D CapEx as a percentage of Beginning PP&amp;E</t>
  </si>
  <si>
    <t>Other CapEx as a percentage of Beginning PP&amp;E</t>
  </si>
  <si>
    <t>Ending PP&amp;E</t>
  </si>
  <si>
    <t>COGS</t>
  </si>
  <si>
    <t>COGS, %</t>
  </si>
  <si>
    <t>COGS as a percentage of Revenue</t>
  </si>
  <si>
    <t>Gross Profit</t>
  </si>
  <si>
    <t>Operational profit, %</t>
  </si>
  <si>
    <t>Operating Expenses</t>
  </si>
  <si>
    <t>Operating Profit as a percentage of Gross Profit</t>
  </si>
  <si>
    <t>EBITDA</t>
  </si>
  <si>
    <t>Operating Taxes</t>
  </si>
  <si>
    <t>EBIT (Operating Income)</t>
  </si>
  <si>
    <t>Revenue Growth Rate</t>
  </si>
  <si>
    <t>NOPAT (Net Operating Profit After Taxes)</t>
  </si>
  <si>
    <t>Tax as a % of EBIT</t>
  </si>
  <si>
    <t>(+) D&amp;A</t>
  </si>
  <si>
    <t>(-) CapEx</t>
  </si>
  <si>
    <t>(-) Change in NWC (Non-Cash Working Capital)</t>
  </si>
  <si>
    <t>Current Assets</t>
  </si>
  <si>
    <t>Current Liabilities</t>
  </si>
  <si>
    <t>Unlevered Free Cash Flow</t>
  </si>
  <si>
    <t>NWC</t>
  </si>
  <si>
    <t>Current Liabilities Growth Rate</t>
  </si>
  <si>
    <t>Current Assets Growth Rate</t>
  </si>
  <si>
    <t>Weighted Average Cost of Capital</t>
  </si>
  <si>
    <t>Equity</t>
  </si>
  <si>
    <t>Enterprise Value</t>
  </si>
  <si>
    <t>Tax Rate</t>
  </si>
  <si>
    <t>Cost of Debt</t>
  </si>
  <si>
    <t>After Tax Cost of Debt</t>
  </si>
  <si>
    <t>Risk-Free Rate (Доходность 10-летних ОФЗ)</t>
  </si>
  <si>
    <t>D/(D+E)</t>
  </si>
  <si>
    <t>Debt (D)</t>
  </si>
  <si>
    <t>Equity (E)</t>
  </si>
  <si>
    <t>Expected Market Return</t>
  </si>
  <si>
    <t>Market Risk Premium</t>
  </si>
  <si>
    <t>Leveraged Beta</t>
  </si>
  <si>
    <t>E/(D+E)</t>
  </si>
  <si>
    <t>Cost of Equity</t>
  </si>
  <si>
    <t>WACC</t>
  </si>
  <si>
    <t>Projection Year</t>
  </si>
  <si>
    <t>Implied Share Price Calculation</t>
  </si>
  <si>
    <t>Growth Rate</t>
  </si>
  <si>
    <t>Terminal Value</t>
  </si>
  <si>
    <t>Sum of PV of FCF</t>
  </si>
  <si>
    <t>PV of Free Cash Flow</t>
  </si>
  <si>
    <t>PV of Terminal Value</t>
  </si>
  <si>
    <t>(+) Cash</t>
  </si>
  <si>
    <t>(-) Debt</t>
  </si>
  <si>
    <t>(-) Minority Interest</t>
  </si>
  <si>
    <t>Equity Value</t>
  </si>
  <si>
    <t>Diluted Shares Outstanding</t>
  </si>
  <si>
    <t>Implied Share Price (RUB)</t>
  </si>
  <si>
    <t>Implied Share Price (Thousands of Rubles)</t>
  </si>
  <si>
    <t>Share Price (as for 23.03.2025, Thousands of Rubles)</t>
  </si>
  <si>
    <t>Sensitivity</t>
  </si>
  <si>
    <t>P/E</t>
  </si>
  <si>
    <t>EV/EBITDA</t>
  </si>
  <si>
    <t>Share Price</t>
  </si>
  <si>
    <t>EV/EBIT</t>
  </si>
  <si>
    <t>EV</t>
  </si>
  <si>
    <t>RoE</t>
  </si>
  <si>
    <t>RoA</t>
  </si>
  <si>
    <t>Earnings per Share</t>
  </si>
  <si>
    <t>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</si>
</sst>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#,##0.00\ &quot;₽&quot;;\-#,##0.00\ &quot;₽&quot;"/>
    <numFmt numFmtId="43" formatCode="_-* #,##0.00_-;\-* #,##0.00_-;_-* &quot;-&quot;??_-;_-@_-"/>
    <numFmt numFmtId="164" formatCode="#,##0.00\ &quot;₽&quot;"/>
    <numFmt numFmtId="166" formatCode="#,##0\ &quot;₽&quot;"/>
    <numFmt numFmtId="167" formatCode="0.0%"/>
    <numFmt numFmtId="173" formatCode="_-* #,##0.000_-;\-* #,##0.000_-;_-* &quot;-&quot;??_-;_-@_-"/>
    <numFmt numFmtId="175" formatCode="_-* #,##0_-;\-* #,##0_-;_-* &quot;-&quot;??_-;_-@_-"/>
    <numFmt numFmtId="178" formatCode="#,##0.0\ &quot;₽&quot;"/>
    <numFmt numFmtId="179" formatCode="#,##0.0\ _₽;\-#,##0.0\ _₽"/>
    <numFmt numFmtId="180" formatCode="#,##0.0\ _₽"/>
    <numFmt numFmtId="181" formatCode="#,##0.0\ &quot;₽&quot;;\-#,##0.0\ &quot;₽&quot;"/>
    <numFmt numFmtId="188" formatCode="0.0000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4" fontId="5" fillId="0" borderId="0" xfId="0" applyNumberFormat="1" applyFont="1"/>
    <xf numFmtId="0" fontId="3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9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9" fontId="0" fillId="4" borderId="0" xfId="2" applyFont="1" applyFill="1"/>
    <xf numFmtId="9" fontId="0" fillId="4" borderId="0" xfId="0" applyNumberFormat="1" applyFill="1"/>
    <xf numFmtId="0" fontId="0" fillId="4" borderId="2" xfId="0" applyFill="1" applyBorder="1"/>
    <xf numFmtId="0" fontId="2" fillId="4" borderId="3" xfId="0" applyFont="1" applyFill="1" applyBorder="1"/>
    <xf numFmtId="0" fontId="0" fillId="4" borderId="3" xfId="0" applyFill="1" applyBorder="1"/>
    <xf numFmtId="9" fontId="0" fillId="4" borderId="3" xfId="0" applyNumberFormat="1" applyFill="1" applyBorder="1"/>
    <xf numFmtId="0" fontId="0" fillId="2" borderId="3" xfId="0" applyFont="1" applyFill="1" applyBorder="1"/>
    <xf numFmtId="0" fontId="0" fillId="2" borderId="3" xfId="0" applyFill="1" applyBorder="1"/>
    <xf numFmtId="0" fontId="0" fillId="3" borderId="3" xfId="0" applyFont="1" applyFill="1" applyBorder="1"/>
    <xf numFmtId="164" fontId="0" fillId="0" borderId="0" xfId="0" applyNumberFormat="1"/>
    <xf numFmtId="164" fontId="6" fillId="0" borderId="0" xfId="0" applyNumberFormat="1" applyFont="1"/>
    <xf numFmtId="164" fontId="0" fillId="4" borderId="0" xfId="0" applyNumberFormat="1" applyFill="1"/>
    <xf numFmtId="0" fontId="2" fillId="4" borderId="4" xfId="0" applyFont="1" applyFill="1" applyBorder="1"/>
    <xf numFmtId="164" fontId="0" fillId="4" borderId="4" xfId="0" applyNumberFormat="1" applyFill="1" applyBorder="1"/>
    <xf numFmtId="0" fontId="2" fillId="4" borderId="0" xfId="0" applyFont="1" applyFill="1" applyBorder="1"/>
    <xf numFmtId="9" fontId="6" fillId="4" borderId="0" xfId="2" applyFont="1" applyFill="1" applyBorder="1"/>
    <xf numFmtId="9" fontId="2" fillId="4" borderId="2" xfId="2" applyFont="1" applyFill="1" applyBorder="1"/>
    <xf numFmtId="9" fontId="0" fillId="4" borderId="2" xfId="2" applyFont="1" applyFill="1" applyBorder="1"/>
    <xf numFmtId="164" fontId="2" fillId="4" borderId="4" xfId="0" applyNumberFormat="1" applyFont="1" applyFill="1" applyBorder="1"/>
    <xf numFmtId="166" fontId="5" fillId="4" borderId="0" xfId="0" applyNumberFormat="1" applyFont="1" applyFill="1"/>
    <xf numFmtId="166" fontId="0" fillId="4" borderId="0" xfId="0" applyNumberFormat="1" applyFill="1"/>
    <xf numFmtId="166" fontId="0" fillId="4" borderId="4" xfId="0" applyNumberFormat="1" applyFill="1" applyBorder="1"/>
    <xf numFmtId="164" fontId="2" fillId="4" borderId="0" xfId="0" applyNumberFormat="1" applyFont="1" applyFill="1" applyBorder="1"/>
    <xf numFmtId="166" fontId="2" fillId="4" borderId="0" xfId="0" applyNumberFormat="1" applyFont="1" applyFill="1" applyBorder="1"/>
    <xf numFmtId="166" fontId="2" fillId="4" borderId="4" xfId="0" applyNumberFormat="1" applyFont="1" applyFill="1" applyBorder="1"/>
    <xf numFmtId="0" fontId="2" fillId="5" borderId="3" xfId="0" applyFont="1" applyFill="1" applyBorder="1"/>
    <xf numFmtId="166" fontId="2" fillId="5" borderId="3" xfId="0" applyNumberFormat="1" applyFont="1" applyFill="1" applyBorder="1"/>
    <xf numFmtId="0" fontId="0" fillId="3" borderId="0" xfId="0" applyFont="1" applyFill="1" applyBorder="1"/>
    <xf numFmtId="0" fontId="0" fillId="6" borderId="0" xfId="0" applyFill="1"/>
    <xf numFmtId="0" fontId="0" fillId="4" borderId="5" xfId="0" applyFill="1" applyBorder="1"/>
    <xf numFmtId="0" fontId="0" fillId="4" borderId="6" xfId="0" applyFill="1" applyBorder="1"/>
    <xf numFmtId="164" fontId="0" fillId="4" borderId="6" xfId="0" applyNumberFormat="1" applyFill="1" applyBorder="1"/>
    <xf numFmtId="167" fontId="0" fillId="4" borderId="6" xfId="2" applyNumberFormat="1" applyFont="1" applyFill="1" applyBorder="1"/>
    <xf numFmtId="0" fontId="2" fillId="4" borderId="7" xfId="0" applyFont="1" applyFill="1" applyBorder="1"/>
    <xf numFmtId="167" fontId="2" fillId="4" borderId="8" xfId="2" applyNumberFormat="1" applyFont="1" applyFill="1" applyBorder="1"/>
    <xf numFmtId="167" fontId="0" fillId="4" borderId="6" xfId="0" applyNumberFormat="1" applyFill="1" applyBorder="1"/>
    <xf numFmtId="167" fontId="2" fillId="4" borderId="8" xfId="0" applyNumberFormat="1" applyFont="1" applyFill="1" applyBorder="1"/>
    <xf numFmtId="43" fontId="0" fillId="4" borderId="6" xfId="1" applyFont="1" applyFill="1" applyBorder="1"/>
    <xf numFmtId="0" fontId="0" fillId="4" borderId="0" xfId="0" applyFont="1" applyFill="1"/>
    <xf numFmtId="167" fontId="2" fillId="5" borderId="3" xfId="0" applyNumberFormat="1" applyFont="1" applyFill="1" applyBorder="1"/>
    <xf numFmtId="164" fontId="0" fillId="3" borderId="0" xfId="0" applyNumberFormat="1" applyFill="1"/>
    <xf numFmtId="0" fontId="0" fillId="3" borderId="0" xfId="0" applyFill="1"/>
    <xf numFmtId="0" fontId="2" fillId="3" borderId="0" xfId="0" applyFont="1" applyFill="1" applyBorder="1"/>
    <xf numFmtId="173" fontId="0" fillId="4" borderId="0" xfId="1" applyNumberFormat="1" applyFont="1" applyFill="1"/>
    <xf numFmtId="175" fontId="2" fillId="5" borderId="3" xfId="0" applyNumberFormat="1" applyFont="1" applyFill="1" applyBorder="1"/>
    <xf numFmtId="173" fontId="2" fillId="5" borderId="3" xfId="0" applyNumberFormat="1" applyFont="1" applyFill="1" applyBorder="1"/>
    <xf numFmtId="175" fontId="2" fillId="3" borderId="3" xfId="1" applyNumberFormat="1" applyFont="1" applyFill="1" applyBorder="1"/>
    <xf numFmtId="167" fontId="0" fillId="3" borderId="0" xfId="2" applyNumberFormat="1" applyFont="1" applyFill="1"/>
    <xf numFmtId="167" fontId="0" fillId="3" borderId="0" xfId="2" applyNumberFormat="1" applyFont="1" applyFill="1" applyBorder="1"/>
    <xf numFmtId="166" fontId="0" fillId="3" borderId="0" xfId="0" applyNumberFormat="1" applyFont="1" applyFill="1" applyBorder="1"/>
    <xf numFmtId="164" fontId="0" fillId="3" borderId="0" xfId="0" applyNumberFormat="1" applyFont="1" applyFill="1" applyBorder="1"/>
    <xf numFmtId="175" fontId="0" fillId="3" borderId="0" xfId="1" applyNumberFormat="1" applyFont="1" applyFill="1" applyBorder="1"/>
    <xf numFmtId="0" fontId="0" fillId="6" borderId="3" xfId="0" applyFont="1" applyFill="1" applyBorder="1"/>
    <xf numFmtId="0" fontId="0" fillId="6" borderId="0" xfId="0" applyFont="1" applyFill="1"/>
    <xf numFmtId="181" fontId="0" fillId="4" borderId="0" xfId="0" applyNumberFormat="1" applyFont="1" applyFill="1"/>
    <xf numFmtId="9" fontId="0" fillId="4" borderId="0" xfId="0" applyNumberFormat="1" applyFont="1" applyFill="1"/>
    <xf numFmtId="0" fontId="0" fillId="0" borderId="9" xfId="0" applyFont="1" applyBorder="1"/>
    <xf numFmtId="0" fontId="0" fillId="0" borderId="4" xfId="0" applyFont="1" applyBorder="1"/>
    <xf numFmtId="0" fontId="0" fillId="6" borderId="4" xfId="0" applyFont="1" applyFill="1" applyBorder="1"/>
    <xf numFmtId="0" fontId="0" fillId="6" borderId="10" xfId="0" applyFont="1" applyFill="1" applyBorder="1"/>
    <xf numFmtId="0" fontId="0" fillId="0" borderId="6" xfId="0" applyFont="1" applyBorder="1"/>
    <xf numFmtId="179" fontId="0" fillId="0" borderId="0" xfId="0" applyNumberFormat="1" applyFont="1" applyBorder="1"/>
    <xf numFmtId="167" fontId="0" fillId="3" borderId="0" xfId="0" applyNumberFormat="1" applyFont="1" applyFill="1" applyBorder="1"/>
    <xf numFmtId="167" fontId="0" fillId="3" borderId="5" xfId="0" applyNumberFormat="1" applyFont="1" applyFill="1" applyBorder="1"/>
    <xf numFmtId="180" fontId="0" fillId="4" borderId="0" xfId="0" applyNumberFormat="1" applyFont="1" applyFill="1"/>
    <xf numFmtId="0" fontId="0" fillId="6" borderId="6" xfId="0" applyFont="1" applyFill="1" applyBorder="1"/>
    <xf numFmtId="10" fontId="0" fillId="3" borderId="0" xfId="0" applyNumberFormat="1" applyFont="1" applyFill="1" applyBorder="1"/>
    <xf numFmtId="178" fontId="0" fillId="0" borderId="0" xfId="0" applyNumberFormat="1" applyFont="1" applyBorder="1"/>
    <xf numFmtId="178" fontId="0" fillId="0" borderId="5" xfId="0" applyNumberFormat="1" applyFont="1" applyBorder="1"/>
    <xf numFmtId="178" fontId="0" fillId="3" borderId="0" xfId="0" applyNumberFormat="1" applyFont="1" applyFill="1" applyBorder="1"/>
    <xf numFmtId="178" fontId="0" fillId="6" borderId="0" xfId="0" applyNumberFormat="1" applyFont="1" applyFill="1" applyBorder="1"/>
    <xf numFmtId="0" fontId="0" fillId="6" borderId="11" xfId="0" applyFont="1" applyFill="1" applyBorder="1"/>
    <xf numFmtId="10" fontId="0" fillId="3" borderId="2" xfId="0" applyNumberFormat="1" applyFont="1" applyFill="1" applyBorder="1"/>
    <xf numFmtId="178" fontId="0" fillId="0" borderId="2" xfId="0" applyNumberFormat="1" applyFont="1" applyBorder="1"/>
    <xf numFmtId="178" fontId="0" fillId="0" borderId="12" xfId="0" applyNumberFormat="1" applyFont="1" applyBorder="1"/>
    <xf numFmtId="188" fontId="0" fillId="4" borderId="0" xfId="2" applyNumberFormat="1" applyFont="1" applyFill="1"/>
    <xf numFmtId="0" fontId="2" fillId="3" borderId="0" xfId="0" applyFont="1" applyFill="1"/>
    <xf numFmtId="2" fontId="0" fillId="3" borderId="0" xfId="0" applyNumberFormat="1" applyFill="1"/>
    <xf numFmtId="7" fontId="0" fillId="3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adchikov/Downloads/PRMD%20Finan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Prognosis"/>
      <sheetName val="DCF"/>
      <sheetName val="Balance Sheet"/>
      <sheetName val="Profit &amp; Loss"/>
      <sheetName val="Cash Flow"/>
      <sheetName val="Additional Indicators"/>
      <sheetName val="Multiples"/>
    </sheetNames>
    <sheetDataSet>
      <sheetData sheetId="0"/>
      <sheetData sheetId="1"/>
      <sheetData sheetId="2">
        <row r="2">
          <cell r="B2">
            <v>18337298</v>
          </cell>
        </row>
        <row r="3">
          <cell r="B3">
            <v>20278300</v>
          </cell>
        </row>
        <row r="4">
          <cell r="B4">
            <v>38615598</v>
          </cell>
        </row>
      </sheetData>
      <sheetData sheetId="3"/>
      <sheetData sheetId="4"/>
      <sheetData sheetId="5">
        <row r="4">
          <cell r="B4">
            <v>483510</v>
          </cell>
          <cell r="C4">
            <v>224437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BEBF-665F-4AE8-B1BF-7DB7303B1798}">
  <dimension ref="D7:E18"/>
  <sheetViews>
    <sheetView tabSelected="1" zoomScale="77" workbookViewId="0">
      <selection activeCell="G9" sqref="G9"/>
    </sheetView>
  </sheetViews>
  <sheetFormatPr defaultRowHeight="14.5" x14ac:dyDescent="0.35"/>
  <cols>
    <col min="1" max="1" width="19.54296875" customWidth="1"/>
    <col min="2" max="2" width="18.26953125" customWidth="1"/>
    <col min="4" max="4" width="16.90625" customWidth="1"/>
    <col min="5" max="5" width="19.81640625" customWidth="1"/>
  </cols>
  <sheetData>
    <row r="7" spans="4:5" x14ac:dyDescent="0.35">
      <c r="D7" s="38" t="s">
        <v>91</v>
      </c>
      <c r="E7" s="38"/>
    </row>
    <row r="8" spans="4:5" x14ac:dyDescent="0.35">
      <c r="D8" s="86" t="s">
        <v>87</v>
      </c>
      <c r="E8" s="50">
        <f>WACC!C10</f>
        <v>113038495</v>
      </c>
    </row>
    <row r="9" spans="4:5" x14ac:dyDescent="0.35">
      <c r="D9" s="86" t="s">
        <v>52</v>
      </c>
      <c r="E9" s="50">
        <f>WACC!C8</f>
        <v>86440000</v>
      </c>
    </row>
    <row r="10" spans="4:5" x14ac:dyDescent="0.35">
      <c r="D10" s="86" t="s">
        <v>84</v>
      </c>
      <c r="E10" s="87">
        <f>WACC!C10/FCF!B8</f>
        <v>12.015505406577637</v>
      </c>
    </row>
    <row r="11" spans="4:5" x14ac:dyDescent="0.35">
      <c r="D11" s="86" t="s">
        <v>86</v>
      </c>
      <c r="E11" s="87">
        <f>E8/FCF!B9</f>
        <v>13.556393862342235</v>
      </c>
    </row>
    <row r="12" spans="4:5" x14ac:dyDescent="0.35">
      <c r="D12" s="86"/>
      <c r="E12" s="51"/>
    </row>
    <row r="13" spans="4:5" x14ac:dyDescent="0.35">
      <c r="D13" s="86" t="s">
        <v>90</v>
      </c>
      <c r="E13" s="88">
        <f>FCF!B11/WACC!C5 * 1000</f>
        <v>39.607351092204865</v>
      </c>
    </row>
    <row r="14" spans="4:5" x14ac:dyDescent="0.35">
      <c r="D14" s="86" t="s">
        <v>85</v>
      </c>
      <c r="E14" s="88">
        <f>WACC!C6 * 1000</f>
        <v>432.2</v>
      </c>
    </row>
    <row r="15" spans="4:5" x14ac:dyDescent="0.35">
      <c r="D15" s="86" t="s">
        <v>83</v>
      </c>
      <c r="E15" s="87">
        <f>E14/E13</f>
        <v>10.912115758356316</v>
      </c>
    </row>
    <row r="16" spans="4:5" x14ac:dyDescent="0.35">
      <c r="D16" s="86"/>
      <c r="E16" s="51"/>
    </row>
    <row r="17" spans="4:5" x14ac:dyDescent="0.35">
      <c r="D17" s="86" t="s">
        <v>88</v>
      </c>
      <c r="E17" s="57">
        <f>FCF!B11/WACC!C8</f>
        <v>9.1641256576133423E-2</v>
      </c>
    </row>
    <row r="18" spans="4:5" x14ac:dyDescent="0.35">
      <c r="D18" s="86" t="s">
        <v>89</v>
      </c>
      <c r="E18" s="57">
        <f>FCF!B11/Data!B4</f>
        <v>0.19536813468216044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BE24-0388-449B-A148-5616AA2006DB}">
  <dimension ref="B2:K27"/>
  <sheetViews>
    <sheetView topLeftCell="B1" zoomScale="69" zoomScaleNormal="70" workbookViewId="0">
      <selection activeCell="G10" sqref="G10"/>
    </sheetView>
  </sheetViews>
  <sheetFormatPr defaultRowHeight="14.5" x14ac:dyDescent="0.35"/>
  <cols>
    <col min="2" max="2" width="32.7265625" customWidth="1"/>
    <col min="3" max="3" width="18.36328125" customWidth="1"/>
    <col min="4" max="4" width="19.54296875" customWidth="1"/>
    <col min="5" max="5" width="15.90625" customWidth="1"/>
    <col min="6" max="6" width="17.81640625" customWidth="1"/>
    <col min="7" max="7" width="16.36328125" customWidth="1"/>
    <col min="8" max="8" width="15.453125" customWidth="1"/>
    <col min="9" max="9" width="13.54296875" customWidth="1"/>
    <col min="10" max="10" width="14.90625" customWidth="1"/>
  </cols>
  <sheetData>
    <row r="2" spans="2:11" x14ac:dyDescent="0.35">
      <c r="B2" s="16" t="s">
        <v>47</v>
      </c>
      <c r="C2" s="16"/>
      <c r="D2" s="16"/>
      <c r="E2" s="16"/>
      <c r="F2" s="16"/>
      <c r="G2" s="16"/>
      <c r="H2" s="16"/>
      <c r="I2" s="16"/>
      <c r="J2" s="8"/>
      <c r="K2" s="8"/>
    </row>
    <row r="3" spans="2:11" x14ac:dyDescent="0.35">
      <c r="B3" s="18" t="s">
        <v>18</v>
      </c>
      <c r="C3" s="18">
        <v>2024</v>
      </c>
      <c r="D3" s="18">
        <v>2025</v>
      </c>
      <c r="E3" s="18">
        <v>2026</v>
      </c>
      <c r="F3" s="18">
        <v>2027</v>
      </c>
      <c r="G3" s="18">
        <v>2028</v>
      </c>
      <c r="H3" s="18">
        <v>2029</v>
      </c>
      <c r="I3" s="18">
        <v>2030</v>
      </c>
      <c r="J3" s="8"/>
      <c r="K3" s="8"/>
    </row>
    <row r="4" spans="2:11" x14ac:dyDescent="0.35">
      <c r="B4" s="52" t="s">
        <v>47</v>
      </c>
      <c r="C4" s="59">
        <f>FCF!B18</f>
        <v>3667745.4728575498</v>
      </c>
      <c r="D4" s="59">
        <f>FCF!C18</f>
        <v>1382222.2861174736</v>
      </c>
      <c r="E4" s="59">
        <f>FCF!D18</f>
        <v>2351732.3454559427</v>
      </c>
      <c r="F4" s="59">
        <f>FCF!E18</f>
        <v>3581207.2713533938</v>
      </c>
      <c r="G4" s="59">
        <f>FCF!F18</f>
        <v>5105326.6217587665</v>
      </c>
      <c r="H4" s="59">
        <f>FCF!G18</f>
        <v>7114650.0083999541</v>
      </c>
      <c r="I4" s="59">
        <f>FCF!H18</f>
        <v>9748474.2539928183</v>
      </c>
      <c r="J4" s="8"/>
      <c r="K4" s="8"/>
    </row>
    <row r="5" spans="2:11" x14ac:dyDescent="0.35">
      <c r="B5" s="60"/>
      <c r="C5" s="59"/>
      <c r="D5" s="59"/>
      <c r="E5" s="59"/>
      <c r="F5" s="59"/>
      <c r="G5" s="59"/>
      <c r="H5" s="59"/>
      <c r="I5" s="59"/>
      <c r="J5" s="8"/>
      <c r="K5" s="8"/>
    </row>
    <row r="6" spans="2:11" x14ac:dyDescent="0.35">
      <c r="B6" s="61" t="s">
        <v>67</v>
      </c>
      <c r="C6" s="61"/>
      <c r="D6" s="61">
        <v>1</v>
      </c>
      <c r="E6" s="61">
        <v>2</v>
      </c>
      <c r="F6" s="61">
        <v>3</v>
      </c>
      <c r="G6" s="61">
        <v>4</v>
      </c>
      <c r="H6" s="61">
        <v>5</v>
      </c>
      <c r="I6" s="61">
        <v>6</v>
      </c>
      <c r="J6" s="8"/>
      <c r="K6" s="8"/>
    </row>
    <row r="7" spans="2:11" x14ac:dyDescent="0.35">
      <c r="B7" s="56" t="s">
        <v>72</v>
      </c>
      <c r="C7" s="56"/>
      <c r="D7" s="56">
        <f>D4/(1+$C$17)^D6</f>
        <v>1208357.4170939582</v>
      </c>
      <c r="E7" s="56">
        <f t="shared" ref="E7:I7" si="0">E4/(1+$C$17)^E6</f>
        <v>1797309.7689590103</v>
      </c>
      <c r="F7" s="56">
        <f t="shared" si="0"/>
        <v>2392665.6857270771</v>
      </c>
      <c r="G7" s="56">
        <f t="shared" si="0"/>
        <v>2981903.7202000259</v>
      </c>
      <c r="H7" s="56">
        <f t="shared" si="0"/>
        <v>3632797.1373413508</v>
      </c>
      <c r="I7" s="56">
        <f t="shared" si="0"/>
        <v>4351527.9389274912</v>
      </c>
      <c r="J7" s="8"/>
      <c r="K7" s="8"/>
    </row>
    <row r="8" spans="2:11" x14ac:dyDescent="0.35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 x14ac:dyDescent="0.35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35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3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1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2:11" x14ac:dyDescent="0.35">
      <c r="B14" s="62" t="s">
        <v>68</v>
      </c>
      <c r="C14" s="62"/>
      <c r="D14" s="8"/>
      <c r="E14" s="63"/>
      <c r="F14" s="63"/>
      <c r="G14" s="63"/>
      <c r="H14" s="63" t="s">
        <v>82</v>
      </c>
      <c r="I14" s="63"/>
      <c r="J14" s="63"/>
      <c r="K14" s="63"/>
    </row>
    <row r="15" spans="2:11" x14ac:dyDescent="0.35">
      <c r="B15" s="48" t="s">
        <v>71</v>
      </c>
      <c r="C15" s="64">
        <f>SUM(D7:J7)</f>
        <v>16364561.668248914</v>
      </c>
      <c r="D15" s="8"/>
      <c r="E15" s="8"/>
      <c r="F15" s="8"/>
      <c r="G15" s="8"/>
      <c r="H15" s="8"/>
      <c r="I15" s="8"/>
      <c r="J15" s="8"/>
      <c r="K15" s="8"/>
    </row>
    <row r="16" spans="2:11" x14ac:dyDescent="0.35">
      <c r="B16" s="48" t="s">
        <v>69</v>
      </c>
      <c r="C16" s="65">
        <v>0.11</v>
      </c>
      <c r="D16" s="8"/>
      <c r="E16" s="66"/>
      <c r="F16" s="67"/>
      <c r="G16" s="68"/>
      <c r="H16" s="68"/>
      <c r="I16" s="68" t="s">
        <v>69</v>
      </c>
      <c r="J16" s="68"/>
      <c r="K16" s="69"/>
    </row>
    <row r="17" spans="2:11" x14ac:dyDescent="0.35">
      <c r="B17" s="48" t="s">
        <v>66</v>
      </c>
      <c r="C17" s="85">
        <f>WACC!C24</f>
        <v>0.14388529963398752</v>
      </c>
      <c r="D17" s="8"/>
      <c r="E17" s="70"/>
      <c r="F17" s="71">
        <f>C27</f>
        <v>565.28687618837398</v>
      </c>
      <c r="G17" s="72">
        <f>H17-0.5%</f>
        <v>9.9999999999999992E-2</v>
      </c>
      <c r="H17" s="72">
        <f>I17-0.5%</f>
        <v>0.105</v>
      </c>
      <c r="I17" s="58">
        <v>0.11</v>
      </c>
      <c r="J17" s="72">
        <f>I17+0.5%</f>
        <v>0.115</v>
      </c>
      <c r="K17" s="73">
        <f>J17+0.5%</f>
        <v>0.12000000000000001</v>
      </c>
    </row>
    <row r="18" spans="2:11" x14ac:dyDescent="0.35">
      <c r="B18" s="48" t="s">
        <v>70</v>
      </c>
      <c r="C18" s="74">
        <f>I4*(1+C16)/(C17-C16)</f>
        <v>319336306.26888657</v>
      </c>
      <c r="D18" s="8"/>
      <c r="E18" s="75"/>
      <c r="F18" s="76">
        <f>F19-0.5%</f>
        <v>0.13388529999999998</v>
      </c>
      <c r="G18" s="77">
        <f t="dataTable" ref="G18:K22" dt2D="1" dtr="1" r1="C16" r2="C17"/>
        <v>600.13116718137758</v>
      </c>
      <c r="H18" s="77">
        <v>732.97543368444246</v>
      </c>
      <c r="I18" s="77">
        <v>921.43728359783336</v>
      </c>
      <c r="J18" s="77">
        <v>1209.6920147010342</v>
      </c>
      <c r="K18" s="78">
        <v>1705.5437952761235</v>
      </c>
    </row>
    <row r="19" spans="2:11" x14ac:dyDescent="0.35">
      <c r="B19" s="48" t="s">
        <v>73</v>
      </c>
      <c r="C19" s="74">
        <f>C18/(1+C17)^I6</f>
        <v>142545471.46942589</v>
      </c>
      <c r="D19" s="8"/>
      <c r="E19" s="75"/>
      <c r="F19" s="76">
        <f>F20-0.5%</f>
        <v>0.13888529999999999</v>
      </c>
      <c r="G19" s="77">
        <v>485.94769037106545</v>
      </c>
      <c r="H19" s="79">
        <v>582.48160808851162</v>
      </c>
      <c r="I19" s="79">
        <v>712.43526446799183</v>
      </c>
      <c r="J19" s="79">
        <v>896.79629960322609</v>
      </c>
      <c r="K19" s="78">
        <v>1178.7787837677236</v>
      </c>
    </row>
    <row r="20" spans="2:11" x14ac:dyDescent="0.35">
      <c r="B20" s="48" t="s">
        <v>53</v>
      </c>
      <c r="C20" s="74">
        <f>C19+C15</f>
        <v>158910033.13767481</v>
      </c>
      <c r="D20" s="8"/>
      <c r="E20" s="75" t="s">
        <v>66</v>
      </c>
      <c r="F20" s="76">
        <v>0.14388529999999999</v>
      </c>
      <c r="G20" s="77">
        <v>397.92217133230287</v>
      </c>
      <c r="H20" s="79">
        <v>470.84436715604693</v>
      </c>
      <c r="I20" s="80">
        <v>565.28686701243748</v>
      </c>
      <c r="J20" s="79">
        <v>692.42506324601334</v>
      </c>
      <c r="K20" s="78">
        <v>872.79189643770849</v>
      </c>
    </row>
    <row r="21" spans="2:11" x14ac:dyDescent="0.35">
      <c r="B21" s="48" t="s">
        <v>74</v>
      </c>
      <c r="C21" s="74">
        <f>Data!B2</f>
        <v>19254162.900000002</v>
      </c>
      <c r="D21" s="8"/>
      <c r="E21" s="75"/>
      <c r="F21" s="76">
        <f>F20+0.5%</f>
        <v>0.1488853</v>
      </c>
      <c r="G21" s="77">
        <v>328.0249807256854</v>
      </c>
      <c r="H21" s="79">
        <v>384.77891045208725</v>
      </c>
      <c r="I21" s="79">
        <v>456.12805475222308</v>
      </c>
      <c r="J21" s="79">
        <v>548.53327478435347</v>
      </c>
      <c r="K21" s="78">
        <v>672.9288913268648</v>
      </c>
    </row>
    <row r="22" spans="2:11" x14ac:dyDescent="0.35">
      <c r="B22" s="48" t="s">
        <v>75</v>
      </c>
      <c r="C22" s="74">
        <f>Data!B5+Data!B6</f>
        <v>26598495</v>
      </c>
      <c r="D22" s="8"/>
      <c r="E22" s="81"/>
      <c r="F22" s="82">
        <f>F21+0.5%</f>
        <v>0.1538853</v>
      </c>
      <c r="G22" s="83">
        <v>271.20685028078537</v>
      </c>
      <c r="H22" s="83">
        <v>316.43562937944256</v>
      </c>
      <c r="I22" s="83">
        <v>371.97054267307095</v>
      </c>
      <c r="J22" s="83">
        <v>441.78718024132974</v>
      </c>
      <c r="K22" s="84">
        <v>532.20763054498093</v>
      </c>
    </row>
    <row r="23" spans="2:11" x14ac:dyDescent="0.35">
      <c r="B23" s="48" t="s">
        <v>76</v>
      </c>
      <c r="C23" s="74">
        <v>0</v>
      </c>
      <c r="D23" s="8"/>
      <c r="E23" s="8"/>
      <c r="F23" s="8"/>
      <c r="G23" s="8"/>
      <c r="H23" s="8"/>
      <c r="I23" s="8"/>
      <c r="J23" s="8"/>
      <c r="K23" s="8"/>
    </row>
    <row r="24" spans="2:11" x14ac:dyDescent="0.35">
      <c r="B24" s="35" t="s">
        <v>77</v>
      </c>
      <c r="C24" s="54">
        <f>C20-C21-C22</f>
        <v>113057375.2376748</v>
      </c>
      <c r="D24" s="8"/>
      <c r="E24" s="8"/>
      <c r="F24" s="8"/>
      <c r="G24" s="8"/>
      <c r="H24" s="8"/>
      <c r="I24" s="8"/>
      <c r="J24" s="8"/>
      <c r="K24" s="8"/>
    </row>
    <row r="25" spans="2:11" x14ac:dyDescent="0.35">
      <c r="B25" s="48" t="s">
        <v>78</v>
      </c>
      <c r="C25" s="48">
        <f>WACC!C5</f>
        <v>200000000</v>
      </c>
      <c r="D25" s="8"/>
      <c r="E25" s="8"/>
      <c r="F25" s="8"/>
      <c r="G25" s="8"/>
      <c r="H25" s="8"/>
      <c r="I25" s="8"/>
      <c r="J25" s="8"/>
      <c r="K25" s="8"/>
    </row>
    <row r="26" spans="2:11" x14ac:dyDescent="0.35">
      <c r="B26" s="48" t="s">
        <v>80</v>
      </c>
      <c r="C26" s="53">
        <f>C24/C25</f>
        <v>0.56528687618837403</v>
      </c>
      <c r="D26" s="8"/>
      <c r="E26" s="8"/>
      <c r="F26" s="8"/>
      <c r="G26" s="8"/>
      <c r="H26" s="8"/>
      <c r="I26" s="8"/>
      <c r="J26" s="8"/>
      <c r="K26" s="8"/>
    </row>
    <row r="27" spans="2:11" x14ac:dyDescent="0.35">
      <c r="B27" s="35" t="s">
        <v>79</v>
      </c>
      <c r="C27" s="55">
        <f>C26*1000</f>
        <v>565.28687618837398</v>
      </c>
      <c r="D27" s="8"/>
      <c r="E27" s="8"/>
      <c r="F27" s="8"/>
      <c r="G27" s="8"/>
      <c r="H27" s="8"/>
      <c r="I27" s="8"/>
      <c r="J27" s="8"/>
      <c r="K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835-B211-480B-8EE2-F3A3A5F5B15F}">
  <dimension ref="B3:C24"/>
  <sheetViews>
    <sheetView topLeftCell="A2" zoomScale="90" zoomScaleNormal="97" workbookViewId="0">
      <selection activeCell="F5" sqref="F5"/>
    </sheetView>
  </sheetViews>
  <sheetFormatPr defaultRowHeight="14.5" x14ac:dyDescent="0.35"/>
  <cols>
    <col min="2" max="2" width="32.453125" customWidth="1"/>
    <col min="3" max="3" width="18" customWidth="1"/>
  </cols>
  <sheetData>
    <row r="3" spans="2:3" x14ac:dyDescent="0.35">
      <c r="B3" s="38" t="s">
        <v>51</v>
      </c>
      <c r="C3" s="38"/>
    </row>
    <row r="4" spans="2:3" x14ac:dyDescent="0.35">
      <c r="B4" s="39"/>
      <c r="C4" s="40"/>
    </row>
    <row r="5" spans="2:3" x14ac:dyDescent="0.35">
      <c r="B5" s="39" t="s">
        <v>78</v>
      </c>
      <c r="C5" s="47">
        <f>200*10^6</f>
        <v>200000000</v>
      </c>
    </row>
    <row r="6" spans="2:3" x14ac:dyDescent="0.35">
      <c r="B6" s="39" t="s">
        <v>81</v>
      </c>
      <c r="C6" s="47">
        <f>432.2/1000</f>
        <v>0.43219999999999997</v>
      </c>
    </row>
    <row r="7" spans="2:3" x14ac:dyDescent="0.35">
      <c r="B7" s="39"/>
      <c r="C7" s="41"/>
    </row>
    <row r="8" spans="2:3" x14ac:dyDescent="0.35">
      <c r="B8" s="39" t="s">
        <v>60</v>
      </c>
      <c r="C8" s="41">
        <f>C5*C6</f>
        <v>86440000</v>
      </c>
    </row>
    <row r="9" spans="2:3" x14ac:dyDescent="0.35">
      <c r="B9" s="39" t="s">
        <v>59</v>
      </c>
      <c r="C9" s="41">
        <f>Data!B5+Data!B6</f>
        <v>26598495</v>
      </c>
    </row>
    <row r="10" spans="2:3" x14ac:dyDescent="0.35">
      <c r="B10" s="39" t="s">
        <v>53</v>
      </c>
      <c r="C10" s="41">
        <f>C8+C9</f>
        <v>113038495</v>
      </c>
    </row>
    <row r="11" spans="2:3" x14ac:dyDescent="0.35">
      <c r="B11" s="39"/>
      <c r="C11" s="41"/>
    </row>
    <row r="12" spans="2:3" x14ac:dyDescent="0.35">
      <c r="B12" s="39" t="s">
        <v>55</v>
      </c>
      <c r="C12" s="42">
        <v>0.14499999999999999</v>
      </c>
    </row>
    <row r="13" spans="2:3" x14ac:dyDescent="0.35">
      <c r="B13" s="39" t="s">
        <v>58</v>
      </c>
      <c r="C13" s="42">
        <f>C9/C10</f>
        <v>0.23530475171312215</v>
      </c>
    </row>
    <row r="14" spans="2:3" x14ac:dyDescent="0.35">
      <c r="B14" s="39" t="s">
        <v>54</v>
      </c>
      <c r="C14" s="42">
        <v>0.25</v>
      </c>
    </row>
    <row r="15" spans="2:3" x14ac:dyDescent="0.35">
      <c r="B15" s="43" t="s">
        <v>56</v>
      </c>
      <c r="C15" s="44">
        <f>C12*(1-C14)</f>
        <v>0.10874999999999999</v>
      </c>
    </row>
    <row r="16" spans="2:3" x14ac:dyDescent="0.35">
      <c r="B16" s="39"/>
      <c r="C16" s="41"/>
    </row>
    <row r="17" spans="2:3" x14ac:dyDescent="0.35">
      <c r="B17" s="39" t="s">
        <v>57</v>
      </c>
      <c r="C17" s="42">
        <v>0.14649999999999999</v>
      </c>
    </row>
    <row r="18" spans="2:3" x14ac:dyDescent="0.35">
      <c r="B18" s="39" t="s">
        <v>61</v>
      </c>
      <c r="C18" s="45">
        <v>0.17</v>
      </c>
    </row>
    <row r="19" spans="2:3" x14ac:dyDescent="0.35">
      <c r="B19" s="39" t="s">
        <v>62</v>
      </c>
      <c r="C19" s="45">
        <f>(C18-C17)</f>
        <v>2.3500000000000021E-2</v>
      </c>
    </row>
    <row r="20" spans="2:3" x14ac:dyDescent="0.35">
      <c r="B20" s="39" t="s">
        <v>63</v>
      </c>
      <c r="C20" s="47">
        <v>0.3488</v>
      </c>
    </row>
    <row r="21" spans="2:3" x14ac:dyDescent="0.35">
      <c r="B21" s="39"/>
      <c r="C21" s="45"/>
    </row>
    <row r="22" spans="2:3" x14ac:dyDescent="0.35">
      <c r="B22" s="39" t="s">
        <v>64</v>
      </c>
      <c r="C22" s="45">
        <f>C8/C10</f>
        <v>0.76469524828687785</v>
      </c>
    </row>
    <row r="23" spans="2:3" x14ac:dyDescent="0.35">
      <c r="B23" s="43" t="s">
        <v>65</v>
      </c>
      <c r="C23" s="46">
        <f>C17+C20*C19</f>
        <v>0.1546968</v>
      </c>
    </row>
    <row r="24" spans="2:3" x14ac:dyDescent="0.35">
      <c r="B24" s="35" t="s">
        <v>66</v>
      </c>
      <c r="C24" s="49">
        <f>C23*C22+C15*C13</f>
        <v>0.14388529963398752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ACBE-CF07-4119-9761-623A2877C205}">
  <dimension ref="A1:I32"/>
  <sheetViews>
    <sheetView zoomScale="60" workbookViewId="0">
      <selection activeCell="B20" sqref="B20"/>
    </sheetView>
  </sheetViews>
  <sheetFormatPr defaultRowHeight="14.5" x14ac:dyDescent="0.35"/>
  <cols>
    <col min="1" max="1" width="32.36328125" customWidth="1"/>
    <col min="2" max="2" width="14.7265625" customWidth="1"/>
    <col min="3" max="3" width="19.453125" customWidth="1"/>
    <col min="4" max="4" width="15.08984375" customWidth="1"/>
    <col min="5" max="5" width="17.26953125" customWidth="1"/>
    <col min="6" max="6" width="21.453125" customWidth="1"/>
    <col min="7" max="7" width="19.26953125" customWidth="1"/>
    <col min="8" max="8" width="15.453125" customWidth="1"/>
    <col min="9" max="9" width="19.08984375" customWidth="1"/>
  </cols>
  <sheetData>
    <row r="1" spans="1:9" x14ac:dyDescent="0.35">
      <c r="A1" s="16"/>
      <c r="B1" s="17"/>
      <c r="C1" s="17"/>
      <c r="D1" s="17"/>
      <c r="E1" s="17"/>
      <c r="F1" s="17"/>
      <c r="G1" s="17"/>
      <c r="H1" s="17"/>
      <c r="I1" s="17"/>
    </row>
    <row r="2" spans="1:9" x14ac:dyDescent="0.35">
      <c r="A2" s="18" t="s">
        <v>18</v>
      </c>
      <c r="B2" s="18">
        <v>2024</v>
      </c>
      <c r="C2" s="18">
        <v>2025</v>
      </c>
      <c r="D2" s="18">
        <v>2026</v>
      </c>
      <c r="E2" s="18">
        <v>2027</v>
      </c>
      <c r="F2" s="18">
        <v>2028</v>
      </c>
      <c r="G2" s="18">
        <v>2029</v>
      </c>
      <c r="H2" s="18">
        <v>2030</v>
      </c>
      <c r="I2" s="18">
        <v>2031</v>
      </c>
    </row>
    <row r="3" spans="1:9" x14ac:dyDescent="0.35">
      <c r="A3" s="9" t="s">
        <v>6</v>
      </c>
      <c r="B3" s="29">
        <f>21.1*10^6</f>
        <v>21100000</v>
      </c>
      <c r="C3" s="30">
        <f>B3*(1+B30)</f>
        <v>27008000</v>
      </c>
      <c r="D3" s="30">
        <f>C3*(1+C30)</f>
        <v>34300160</v>
      </c>
      <c r="E3" s="30">
        <f>D3*(1+D30)</f>
        <v>43218201.600000001</v>
      </c>
      <c r="F3" s="30">
        <f>E3*(1+E30)</f>
        <v>54022752</v>
      </c>
      <c r="G3" s="30">
        <f t="shared" ref="G3:I3" si="0">F3*(1+F30)</f>
        <v>67528440</v>
      </c>
      <c r="H3" s="30">
        <f t="shared" si="0"/>
        <v>84410550</v>
      </c>
      <c r="I3" s="30">
        <f t="shared" si="0"/>
        <v>105513187.5</v>
      </c>
    </row>
    <row r="4" spans="1:9" x14ac:dyDescent="0.35">
      <c r="A4" s="21" t="s">
        <v>29</v>
      </c>
      <c r="B4" s="30">
        <f>B3*B27</f>
        <v>6859401.9388655303</v>
      </c>
      <c r="C4" s="30">
        <f>C3*C27</f>
        <v>8780034.4817478787</v>
      </c>
      <c r="D4" s="30">
        <f>D3*D27</f>
        <v>11150643.791819807</v>
      </c>
      <c r="E4" s="30">
        <f>E3*E27</f>
        <v>14049811.177692957</v>
      </c>
      <c r="F4" s="30">
        <f>F3*F27</f>
        <v>17562263.972116195</v>
      </c>
      <c r="G4" s="30">
        <f t="shared" ref="G4:I4" si="1">G3*G27</f>
        <v>21952829.965145245</v>
      </c>
      <c r="H4" s="30">
        <f t="shared" si="1"/>
        <v>27441037.456431556</v>
      </c>
      <c r="I4" s="30">
        <f t="shared" si="1"/>
        <v>34301296.820539445</v>
      </c>
    </row>
    <row r="5" spans="1:9" x14ac:dyDescent="0.35">
      <c r="A5" s="28" t="s">
        <v>32</v>
      </c>
      <c r="B5" s="34">
        <f>B3-B4</f>
        <v>14240598.061134469</v>
      </c>
      <c r="C5" s="34">
        <f t="shared" ref="C5:F5" si="2">C3-C4</f>
        <v>18227965.518252119</v>
      </c>
      <c r="D5" s="34">
        <f t="shared" si="2"/>
        <v>23149516.208180193</v>
      </c>
      <c r="E5" s="34">
        <f t="shared" si="2"/>
        <v>29168390.422307044</v>
      </c>
      <c r="F5" s="34">
        <f t="shared" si="2"/>
        <v>36460488.027883805</v>
      </c>
      <c r="G5" s="34">
        <f t="shared" ref="G5" si="3">G3-G4</f>
        <v>45575610.034854755</v>
      </c>
      <c r="H5" s="34">
        <f t="shared" ref="H5" si="4">H3-H4</f>
        <v>56969512.543568447</v>
      </c>
      <c r="I5" s="34">
        <f t="shared" ref="I5" si="5">I3-I4</f>
        <v>71211890.679460555</v>
      </c>
    </row>
    <row r="6" spans="1:9" x14ac:dyDescent="0.35">
      <c r="A6" s="21" t="s">
        <v>34</v>
      </c>
      <c r="B6" s="30">
        <f>B5*(1-B28)</f>
        <v>5902208.3575123921</v>
      </c>
      <c r="C6" s="30">
        <f>C5*(1-C28)</f>
        <v>7554826.6976158619</v>
      </c>
      <c r="D6" s="30">
        <f>D5*(1-D28)</f>
        <v>9594629.9059721455</v>
      </c>
      <c r="E6" s="30">
        <f>E5*(1-E28)</f>
        <v>12089233.681524903</v>
      </c>
      <c r="F6" s="30">
        <f>F5*(1-F28)</f>
        <v>15111542.101906128</v>
      </c>
      <c r="G6" s="30">
        <f t="shared" ref="G6:I6" si="6">G5*(1-G28)</f>
        <v>18889427.627382662</v>
      </c>
      <c r="H6" s="30">
        <f t="shared" si="6"/>
        <v>23611784.534228329</v>
      </c>
      <c r="I6" s="30">
        <f t="shared" si="6"/>
        <v>29514730.667785406</v>
      </c>
    </row>
    <row r="7" spans="1:9" x14ac:dyDescent="0.35">
      <c r="A7" s="21" t="s">
        <v>22</v>
      </c>
      <c r="B7" s="30">
        <f>'Fixed Assets'!B4</f>
        <v>1069329.0044165759</v>
      </c>
      <c r="C7" s="30">
        <f>'Fixed Assets'!C4</f>
        <v>1282957.8470361377</v>
      </c>
      <c r="D7" s="30">
        <f>'Fixed Assets'!D4</f>
        <v>1539265.1190356947</v>
      </c>
      <c r="E7" s="30">
        <f>'Fixed Assets'!E4</f>
        <v>1846777.0489525937</v>
      </c>
      <c r="F7" s="30">
        <f>'Fixed Assets'!F4</f>
        <v>2215723.2216596222</v>
      </c>
      <c r="G7" s="30">
        <f>'Fixed Assets'!G4</f>
        <v>2658376.872176365</v>
      </c>
      <c r="H7" s="30">
        <f>'Fixed Assets'!H4</f>
        <v>3189463.1628353344</v>
      </c>
      <c r="I7" s="30">
        <f>'Fixed Assets'!I4</f>
        <v>3826649.0254090233</v>
      </c>
    </row>
    <row r="8" spans="1:9" x14ac:dyDescent="0.35">
      <c r="A8" s="28" t="s">
        <v>36</v>
      </c>
      <c r="B8" s="34">
        <f>B9+B7</f>
        <v>9407718.7080386523</v>
      </c>
      <c r="C8" s="34">
        <f t="shared" ref="C8:F8" si="7">C9+C7</f>
        <v>11956096.667672396</v>
      </c>
      <c r="D8" s="34">
        <f t="shared" si="7"/>
        <v>15094151.421243742</v>
      </c>
      <c r="E8" s="34">
        <f t="shared" si="7"/>
        <v>18925933.789734736</v>
      </c>
      <c r="F8" s="34">
        <f t="shared" si="7"/>
        <v>23564669.1476373</v>
      </c>
      <c r="G8" s="34">
        <f t="shared" ref="G8" si="8">G9+G7</f>
        <v>29344559.279648457</v>
      </c>
      <c r="H8" s="34">
        <f t="shared" ref="H8" si="9">H9+H7</f>
        <v>36547191.172175452</v>
      </c>
      <c r="I8" s="34">
        <f t="shared" ref="I8" si="10">I9+I7</f>
        <v>45523809.03708417</v>
      </c>
    </row>
    <row r="9" spans="1:9" x14ac:dyDescent="0.35">
      <c r="A9" s="32" t="s">
        <v>38</v>
      </c>
      <c r="B9" s="33">
        <f>B5-B6</f>
        <v>8338389.7036220767</v>
      </c>
      <c r="C9" s="33">
        <f t="shared" ref="C9:F9" si="11">C5-C6</f>
        <v>10673138.820636258</v>
      </c>
      <c r="D9" s="33">
        <f t="shared" si="11"/>
        <v>13554886.302208047</v>
      </c>
      <c r="E9" s="33">
        <f t="shared" si="11"/>
        <v>17079156.740782142</v>
      </c>
      <c r="F9" s="33">
        <f t="shared" si="11"/>
        <v>21348945.925977677</v>
      </c>
      <c r="G9" s="33">
        <f t="shared" ref="G9:I9" si="12">G5-G6</f>
        <v>26686182.407472093</v>
      </c>
      <c r="H9" s="33">
        <f t="shared" si="12"/>
        <v>33357728.009340119</v>
      </c>
      <c r="I9" s="33">
        <f t="shared" si="12"/>
        <v>41697160.011675149</v>
      </c>
    </row>
    <row r="10" spans="1:9" x14ac:dyDescent="0.35">
      <c r="A10" s="21" t="s">
        <v>37</v>
      </c>
      <c r="B10" s="30">
        <f>B9*B29</f>
        <v>416919.48518110387</v>
      </c>
      <c r="C10" s="30">
        <f>C9*C29</f>
        <v>2668284.7051590644</v>
      </c>
      <c r="D10" s="30">
        <f>D9*D29</f>
        <v>3388721.5755520118</v>
      </c>
      <c r="E10" s="30">
        <f>E9*E29</f>
        <v>4269789.1851955354</v>
      </c>
      <c r="F10" s="30">
        <f>F9*F29</f>
        <v>5337236.4814944193</v>
      </c>
      <c r="G10" s="30">
        <f t="shared" ref="G10:I10" si="13">G9*G29</f>
        <v>6671545.6018680232</v>
      </c>
      <c r="H10" s="30">
        <f t="shared" si="13"/>
        <v>8339432.0023350297</v>
      </c>
      <c r="I10" s="30">
        <f t="shared" si="13"/>
        <v>10424290.002918787</v>
      </c>
    </row>
    <row r="11" spans="1:9" x14ac:dyDescent="0.35">
      <c r="A11" s="22" t="s">
        <v>40</v>
      </c>
      <c r="B11" s="31">
        <f>B9-B10</f>
        <v>7921470.2184409732</v>
      </c>
      <c r="C11" s="31">
        <f t="shared" ref="C11:F11" si="14">C9-C10</f>
        <v>8004854.1154771931</v>
      </c>
      <c r="D11" s="31">
        <f t="shared" si="14"/>
        <v>10166164.726656035</v>
      </c>
      <c r="E11" s="31">
        <f t="shared" si="14"/>
        <v>12809367.555586606</v>
      </c>
      <c r="F11" s="31">
        <f t="shared" si="14"/>
        <v>16011709.444483258</v>
      </c>
      <c r="G11" s="31">
        <f t="shared" ref="G11" si="15">G9-G10</f>
        <v>20014636.80560407</v>
      </c>
      <c r="H11" s="31">
        <f t="shared" ref="H11" si="16">H9-H10</f>
        <v>25018296.007005088</v>
      </c>
      <c r="I11" s="31">
        <f t="shared" ref="I11" si="17">I9-I10</f>
        <v>31272870.008756362</v>
      </c>
    </row>
    <row r="12" spans="1:9" x14ac:dyDescent="0.35">
      <c r="A12" s="9" t="s">
        <v>42</v>
      </c>
      <c r="B12" s="30">
        <f>B7</f>
        <v>1069329.0044165759</v>
      </c>
      <c r="C12" s="30">
        <f t="shared" ref="C12:F12" si="18">C7</f>
        <v>1282957.8470361377</v>
      </c>
      <c r="D12" s="30">
        <f t="shared" si="18"/>
        <v>1539265.1190356947</v>
      </c>
      <c r="E12" s="30">
        <f t="shared" si="18"/>
        <v>1846777.0489525937</v>
      </c>
      <c r="F12" s="30">
        <f t="shared" si="18"/>
        <v>2215723.2216596222</v>
      </c>
      <c r="G12" s="30">
        <f t="shared" ref="G12:I12" si="19">G7</f>
        <v>2658376.872176365</v>
      </c>
      <c r="H12" s="30">
        <f t="shared" si="19"/>
        <v>3189463.1628353344</v>
      </c>
      <c r="I12" s="30">
        <f t="shared" si="19"/>
        <v>3826649.0254090233</v>
      </c>
    </row>
    <row r="13" spans="1:9" x14ac:dyDescent="0.35">
      <c r="A13" s="9" t="s">
        <v>43</v>
      </c>
      <c r="B13" s="30">
        <f>'Fixed Assets'!B5</f>
        <v>5323053.75</v>
      </c>
      <c r="C13" s="30">
        <f>'Fixed Assets'!C5</f>
        <v>6386484.9363958556</v>
      </c>
      <c r="D13" s="30">
        <f>'Fixed Assets'!D5</f>
        <v>7662366.7087357845</v>
      </c>
      <c r="E13" s="30">
        <f>'Fixed Assets'!E5</f>
        <v>9193142.1061608065</v>
      </c>
      <c r="F13" s="30">
        <f>'Fixed Assets'!F5</f>
        <v>11029733.370462859</v>
      </c>
      <c r="G13" s="30">
        <f>'Fixed Assets'!G5</f>
        <v>13233235.907663668</v>
      </c>
      <c r="H13" s="30">
        <f>'Fixed Assets'!H5</f>
        <v>15876950.666535493</v>
      </c>
      <c r="I13" s="30">
        <f>'Fixed Assets'!I5</f>
        <v>19048822.542460531</v>
      </c>
    </row>
    <row r="14" spans="1:9" x14ac:dyDescent="0.35">
      <c r="A14" s="9" t="s">
        <v>44</v>
      </c>
      <c r="B14" s="30">
        <v>0</v>
      </c>
      <c r="C14" s="30">
        <f>C15-B15</f>
        <v>1519104.7400000021</v>
      </c>
      <c r="D14" s="30">
        <f t="shared" ref="D14:F14" si="20">D15-C15</f>
        <v>1691330.7915000021</v>
      </c>
      <c r="E14" s="30">
        <f t="shared" si="20"/>
        <v>1881795.2270250004</v>
      </c>
      <c r="F14" s="30">
        <f t="shared" si="20"/>
        <v>2092372.6739212554</v>
      </c>
      <c r="G14" s="30">
        <f t="shared" ref="G14" si="21">G15-F15</f>
        <v>2325127.7617168128</v>
      </c>
      <c r="H14" s="30">
        <f t="shared" ref="H14" si="22">H15-G15</f>
        <v>2582334.2493121102</v>
      </c>
      <c r="I14" s="30">
        <f t="shared" ref="I14" si="23">I15-H15</f>
        <v>2866496.0712381043</v>
      </c>
    </row>
    <row r="15" spans="1:9" x14ac:dyDescent="0.35">
      <c r="A15" s="30" t="s">
        <v>48</v>
      </c>
      <c r="B15" s="30">
        <f>B16-B17</f>
        <v>11127931.900000002</v>
      </c>
      <c r="C15" s="30">
        <f>C16-C17</f>
        <v>12647036.640000004</v>
      </c>
      <c r="D15" s="30">
        <f t="shared" ref="D15:F15" si="24">D16-D17</f>
        <v>14338367.431500006</v>
      </c>
      <c r="E15" s="30">
        <f t="shared" si="24"/>
        <v>16220162.658525007</v>
      </c>
      <c r="F15" s="30">
        <f t="shared" si="24"/>
        <v>18312535.332446262</v>
      </c>
      <c r="G15" s="30">
        <f t="shared" ref="G15" si="25">G16-G17</f>
        <v>20637663.094163075</v>
      </c>
      <c r="H15" s="30">
        <f t="shared" ref="H15" si="26">H16-H17</f>
        <v>23219997.343475185</v>
      </c>
      <c r="I15" s="30">
        <f t="shared" ref="I15" si="27">I16-I17</f>
        <v>26086493.41471329</v>
      </c>
    </row>
    <row r="16" spans="1:9" x14ac:dyDescent="0.35">
      <c r="A16" s="9" t="s">
        <v>45</v>
      </c>
      <c r="B16" s="30">
        <f>Data!$B$2</f>
        <v>19254162.900000002</v>
      </c>
      <c r="C16" s="30">
        <f>B16*(1+B31)</f>
        <v>21179579.190000005</v>
      </c>
      <c r="D16" s="30">
        <f t="shared" ref="D16:F16" si="28">C16*(1+C31)</f>
        <v>23297537.109000009</v>
      </c>
      <c r="E16" s="30">
        <f t="shared" si="28"/>
        <v>25627290.81990001</v>
      </c>
      <c r="F16" s="30">
        <f t="shared" si="28"/>
        <v>28190019.901890013</v>
      </c>
      <c r="G16" s="30">
        <f t="shared" ref="G16:I16" si="29">F16*(1+F31)</f>
        <v>31009021.892079018</v>
      </c>
      <c r="H16" s="30">
        <f t="shared" si="29"/>
        <v>34109924.081286922</v>
      </c>
      <c r="I16" s="30">
        <f t="shared" si="29"/>
        <v>37520916.489415616</v>
      </c>
    </row>
    <row r="17" spans="1:9" x14ac:dyDescent="0.35">
      <c r="A17" s="9" t="s">
        <v>46</v>
      </c>
      <c r="B17" s="30">
        <f>Data!$B$5</f>
        <v>8126231</v>
      </c>
      <c r="C17" s="30">
        <f>B17*(1+B32)</f>
        <v>8532542.5500000007</v>
      </c>
      <c r="D17" s="30">
        <f t="shared" ref="D17:F17" si="30">C17*(1+C32)</f>
        <v>8959169.6775000021</v>
      </c>
      <c r="E17" s="30">
        <f t="shared" si="30"/>
        <v>9407128.1613750029</v>
      </c>
      <c r="F17" s="30">
        <f t="shared" si="30"/>
        <v>9877484.569443753</v>
      </c>
      <c r="G17" s="30">
        <f t="shared" ref="G17:I17" si="31">F17*(1+F32)</f>
        <v>10371358.797915941</v>
      </c>
      <c r="H17" s="30">
        <f t="shared" si="31"/>
        <v>10889926.737811739</v>
      </c>
      <c r="I17" s="30">
        <f t="shared" si="31"/>
        <v>11434423.074702326</v>
      </c>
    </row>
    <row r="18" spans="1:9" x14ac:dyDescent="0.35">
      <c r="A18" s="35" t="s">
        <v>47</v>
      </c>
      <c r="B18" s="36">
        <f>B11+B12-B13-B14</f>
        <v>3667745.4728575498</v>
      </c>
      <c r="C18" s="36">
        <f t="shared" ref="C18:F18" si="32">C11+C12-C13-C14</f>
        <v>1382222.2861174736</v>
      </c>
      <c r="D18" s="36">
        <f t="shared" si="32"/>
        <v>2351732.3454559427</v>
      </c>
      <c r="E18" s="36">
        <f t="shared" si="32"/>
        <v>3581207.2713533938</v>
      </c>
      <c r="F18" s="36">
        <f t="shared" si="32"/>
        <v>5105326.6217587665</v>
      </c>
      <c r="G18" s="36">
        <f t="shared" ref="G18:I18" si="33">G11+G12-G13-G14</f>
        <v>7114650.0083999541</v>
      </c>
      <c r="H18" s="36">
        <f t="shared" si="33"/>
        <v>9748474.2539928183</v>
      </c>
      <c r="I18" s="36">
        <f t="shared" si="33"/>
        <v>13184200.420466747</v>
      </c>
    </row>
    <row r="25" spans="1:9" x14ac:dyDescent="0.35">
      <c r="A25" s="16" t="s">
        <v>17</v>
      </c>
      <c r="B25" s="17"/>
      <c r="C25" s="17"/>
      <c r="D25" s="17"/>
      <c r="E25" s="17"/>
      <c r="F25" s="17"/>
      <c r="G25" s="17"/>
      <c r="H25" s="17"/>
      <c r="I25" s="17"/>
    </row>
    <row r="26" spans="1:9" x14ac:dyDescent="0.35">
      <c r="A26" s="18" t="s">
        <v>18</v>
      </c>
      <c r="B26" s="18">
        <v>2024</v>
      </c>
      <c r="C26" s="18">
        <v>2025</v>
      </c>
      <c r="D26" s="18">
        <v>2026</v>
      </c>
      <c r="E26" s="18">
        <v>2027</v>
      </c>
      <c r="F26" s="18">
        <v>2028</v>
      </c>
      <c r="G26" s="18">
        <v>2029</v>
      </c>
      <c r="H26" s="18">
        <v>2030</v>
      </c>
      <c r="I26" s="18">
        <v>2031</v>
      </c>
    </row>
    <row r="27" spans="1:9" x14ac:dyDescent="0.35">
      <c r="A27" s="9" t="s">
        <v>31</v>
      </c>
      <c r="B27" s="10">
        <f>AVERAGE(Data!$B$17:$E$17)</f>
        <v>0.32509013928272656</v>
      </c>
      <c r="C27" s="10">
        <f>AVERAGE(Data!$B$17:$E$17)</f>
        <v>0.32509013928272656</v>
      </c>
      <c r="D27" s="10">
        <f>AVERAGE(Data!$B$17:$E$17)</f>
        <v>0.32509013928272656</v>
      </c>
      <c r="E27" s="10">
        <f>AVERAGE(Data!$B$17:$E$17)</f>
        <v>0.32509013928272656</v>
      </c>
      <c r="F27" s="10">
        <f>AVERAGE(Data!$B$17:$E$17)</f>
        <v>0.32509013928272656</v>
      </c>
      <c r="G27" s="10">
        <f>AVERAGE(Data!$B$17:$E$17)</f>
        <v>0.32509013928272656</v>
      </c>
      <c r="H27" s="10">
        <f>AVERAGE(Data!$B$17:$E$17)</f>
        <v>0.32509013928272656</v>
      </c>
      <c r="I27" s="10">
        <f>AVERAGE(Data!$B$17:$E$17)</f>
        <v>0.32509013928272656</v>
      </c>
    </row>
    <row r="28" spans="1:9" x14ac:dyDescent="0.35">
      <c r="A28" s="9" t="s">
        <v>35</v>
      </c>
      <c r="B28" s="11">
        <f>AVERAGE(Data!$B$18:$E$18)</f>
        <v>0.58553648293601257</v>
      </c>
      <c r="C28" s="11">
        <f>AVERAGE(Data!$B$18:$E$18)</f>
        <v>0.58553648293601257</v>
      </c>
      <c r="D28" s="11">
        <f>AVERAGE(Data!$B$18:$E$18)</f>
        <v>0.58553648293601257</v>
      </c>
      <c r="E28" s="11">
        <f>AVERAGE(Data!$B$18:$E$18)</f>
        <v>0.58553648293601257</v>
      </c>
      <c r="F28" s="11">
        <f>AVERAGE(Data!$B$18:$E$18)</f>
        <v>0.58553648293601257</v>
      </c>
      <c r="G28" s="11">
        <f>AVERAGE(Data!$B$18:$E$18)</f>
        <v>0.58553648293601257</v>
      </c>
      <c r="H28" s="11">
        <f>AVERAGE(Data!$B$18:$E$18)</f>
        <v>0.58553648293601257</v>
      </c>
      <c r="I28" s="11">
        <f>AVERAGE(Data!$B$18:$E$18)</f>
        <v>0.58553648293601257</v>
      </c>
    </row>
    <row r="29" spans="1:9" x14ac:dyDescent="0.35">
      <c r="A29" s="9" t="s">
        <v>41</v>
      </c>
      <c r="B29" s="11">
        <v>0.05</v>
      </c>
      <c r="C29" s="11">
        <v>0.25</v>
      </c>
      <c r="D29" s="11">
        <v>0.25</v>
      </c>
      <c r="E29" s="11">
        <v>0.25</v>
      </c>
      <c r="F29" s="11">
        <v>0.25</v>
      </c>
      <c r="G29" s="11">
        <v>0.25</v>
      </c>
      <c r="H29" s="11">
        <v>0.25</v>
      </c>
      <c r="I29" s="11">
        <v>0.25</v>
      </c>
    </row>
    <row r="30" spans="1:9" x14ac:dyDescent="0.35">
      <c r="A30" s="9" t="s">
        <v>39</v>
      </c>
      <c r="B30" s="11">
        <v>0.28000000000000003</v>
      </c>
      <c r="C30" s="11">
        <v>0.27</v>
      </c>
      <c r="D30" s="11">
        <v>0.26</v>
      </c>
      <c r="E30" s="11">
        <v>0.25</v>
      </c>
      <c r="F30" s="11">
        <v>0.25</v>
      </c>
      <c r="G30" s="11">
        <v>0.25</v>
      </c>
      <c r="H30" s="11">
        <v>0.25</v>
      </c>
      <c r="I30" s="11">
        <v>0.25</v>
      </c>
    </row>
    <row r="31" spans="1:9" x14ac:dyDescent="0.35">
      <c r="A31" s="9" t="s">
        <v>50</v>
      </c>
      <c r="B31" s="11">
        <v>0.1</v>
      </c>
      <c r="C31" s="11">
        <v>0.1</v>
      </c>
      <c r="D31" s="11">
        <v>0.1</v>
      </c>
      <c r="E31" s="11">
        <v>0.1</v>
      </c>
      <c r="F31" s="11">
        <v>0.1</v>
      </c>
      <c r="G31" s="11">
        <v>0.1</v>
      </c>
      <c r="H31" s="11">
        <v>0.1</v>
      </c>
      <c r="I31" s="11">
        <v>0.1</v>
      </c>
    </row>
    <row r="32" spans="1:9" x14ac:dyDescent="0.35">
      <c r="A32" s="9" t="s">
        <v>49</v>
      </c>
      <c r="B32" s="11">
        <v>0.05</v>
      </c>
      <c r="C32" s="11">
        <v>0.05</v>
      </c>
      <c r="D32" s="11">
        <v>0.05</v>
      </c>
      <c r="E32" s="11">
        <v>0.05</v>
      </c>
      <c r="F32" s="11">
        <v>0.05</v>
      </c>
      <c r="G32" s="11">
        <v>0.05</v>
      </c>
      <c r="H32" s="11">
        <v>0.05</v>
      </c>
      <c r="I32" s="1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4452-FEA8-42CF-835F-0CE00691B2AE}">
  <dimension ref="B2"/>
  <sheetViews>
    <sheetView workbookViewId="0">
      <selection activeCell="B17" sqref="B17"/>
    </sheetView>
  </sheetViews>
  <sheetFormatPr defaultRowHeight="14.5" x14ac:dyDescent="0.35"/>
  <cols>
    <col min="2" max="2" width="30.7265625" customWidth="1"/>
  </cols>
  <sheetData>
    <row r="2" spans="2:2" x14ac:dyDescent="0.35">
      <c r="B2" s="38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0EE-69E9-40A0-9E47-1718AFE91DE1}">
  <dimension ref="A1:I14"/>
  <sheetViews>
    <sheetView zoomScale="65" workbookViewId="0">
      <selection activeCell="G7" sqref="G7"/>
    </sheetView>
  </sheetViews>
  <sheetFormatPr defaultRowHeight="14.5" x14ac:dyDescent="0.35"/>
  <cols>
    <col min="1" max="1" width="43.26953125" customWidth="1"/>
    <col min="2" max="2" width="24.81640625" customWidth="1"/>
    <col min="3" max="3" width="17.6328125" customWidth="1"/>
    <col min="4" max="4" width="15" customWidth="1"/>
    <col min="5" max="5" width="14.81640625" customWidth="1"/>
    <col min="6" max="6" width="21.7265625" customWidth="1"/>
    <col min="7" max="7" width="16.453125" customWidth="1"/>
    <col min="8" max="8" width="16.81640625" customWidth="1"/>
    <col min="9" max="9" width="18.36328125" customWidth="1"/>
  </cols>
  <sheetData>
    <row r="1" spans="1:9" x14ac:dyDescent="0.35">
      <c r="A1" s="16" t="s">
        <v>20</v>
      </c>
      <c r="B1" s="17"/>
      <c r="C1" s="17"/>
      <c r="D1" s="17"/>
      <c r="E1" s="17"/>
      <c r="F1" s="17"/>
      <c r="G1" s="17"/>
      <c r="H1" s="17"/>
      <c r="I1" s="17"/>
    </row>
    <row r="2" spans="1:9" x14ac:dyDescent="0.35">
      <c r="A2" s="18" t="s">
        <v>18</v>
      </c>
      <c r="B2" s="18">
        <v>2024</v>
      </c>
      <c r="C2" s="18">
        <v>2025</v>
      </c>
      <c r="D2" s="18">
        <v>2026</v>
      </c>
      <c r="E2" s="18">
        <v>2027</v>
      </c>
      <c r="F2" s="18">
        <v>2028</v>
      </c>
      <c r="G2" s="37">
        <v>2029</v>
      </c>
      <c r="H2" s="37">
        <v>2030</v>
      </c>
      <c r="I2" s="37">
        <v>2031</v>
      </c>
    </row>
    <row r="3" spans="1:9" x14ac:dyDescent="0.35">
      <c r="A3" s="9" t="s">
        <v>21</v>
      </c>
      <c r="B3" s="9">
        <f>Data!$B$3</f>
        <v>21292215</v>
      </c>
      <c r="C3" s="9">
        <f>B6</f>
        <v>25545939.745583422</v>
      </c>
      <c r="D3" s="9">
        <f t="shared" ref="D3:F3" si="0">C6</f>
        <v>30649466.834943138</v>
      </c>
      <c r="E3" s="9">
        <f t="shared" si="0"/>
        <v>36772568.424643226</v>
      </c>
      <c r="F3" s="9">
        <f t="shared" si="0"/>
        <v>44118933.481851436</v>
      </c>
      <c r="G3" s="9">
        <f t="shared" ref="G3:I3" si="1">F6</f>
        <v>52932943.63065467</v>
      </c>
      <c r="H3" s="9">
        <f t="shared" si="1"/>
        <v>63507802.666141972</v>
      </c>
      <c r="I3" s="9">
        <f t="shared" si="1"/>
        <v>76195290.169842124</v>
      </c>
    </row>
    <row r="4" spans="1:9" x14ac:dyDescent="0.35">
      <c r="A4" s="9" t="s">
        <v>22</v>
      </c>
      <c r="B4" s="9">
        <f>B3*B11</f>
        <v>1069329.0044165759</v>
      </c>
      <c r="C4" s="9">
        <f t="shared" ref="C4:E4" si="2">C3*C11</f>
        <v>1282957.8470361377</v>
      </c>
      <c r="D4" s="9">
        <f t="shared" si="2"/>
        <v>1539265.1190356947</v>
      </c>
      <c r="E4" s="9">
        <f t="shared" si="2"/>
        <v>1846777.0489525937</v>
      </c>
      <c r="F4" s="9">
        <f>F3*F11</f>
        <v>2215723.2216596222</v>
      </c>
      <c r="G4" s="9">
        <f t="shared" ref="G4:I4" si="3">G3*G11</f>
        <v>2658376.872176365</v>
      </c>
      <c r="H4" s="9">
        <f t="shared" si="3"/>
        <v>3189463.1628353344</v>
      </c>
      <c r="I4" s="9">
        <f t="shared" si="3"/>
        <v>3826649.0254090233</v>
      </c>
    </row>
    <row r="5" spans="1:9" x14ac:dyDescent="0.35">
      <c r="A5" s="12" t="s">
        <v>23</v>
      </c>
      <c r="B5" s="12">
        <f>B3*B14</f>
        <v>5323053.75</v>
      </c>
      <c r="C5" s="12">
        <f>C3*C14</f>
        <v>6386484.9363958556</v>
      </c>
      <c r="D5" s="12">
        <f>D3*D14</f>
        <v>7662366.7087357845</v>
      </c>
      <c r="E5" s="12">
        <f>E3*E14</f>
        <v>9193142.1061608065</v>
      </c>
      <c r="F5" s="12">
        <f>F3*F14</f>
        <v>11029733.370462859</v>
      </c>
      <c r="G5" s="12">
        <f t="shared" ref="G5:I5" si="4">G3*G14</f>
        <v>13233235.907663668</v>
      </c>
      <c r="H5" s="12">
        <f t="shared" si="4"/>
        <v>15876950.666535493</v>
      </c>
      <c r="I5" s="12">
        <f t="shared" si="4"/>
        <v>19048822.542460531</v>
      </c>
    </row>
    <row r="6" spans="1:9" x14ac:dyDescent="0.35">
      <c r="A6" s="13" t="s">
        <v>28</v>
      </c>
      <c r="B6" s="13">
        <f>B3-B4+B5</f>
        <v>25545939.745583422</v>
      </c>
      <c r="C6" s="13">
        <f t="shared" ref="C6:F6" si="5">C3-C4+C5</f>
        <v>30649466.834943138</v>
      </c>
      <c r="D6" s="13">
        <f t="shared" si="5"/>
        <v>36772568.424643226</v>
      </c>
      <c r="E6" s="13">
        <f t="shared" si="5"/>
        <v>44118933.481851436</v>
      </c>
      <c r="F6" s="13">
        <f t="shared" si="5"/>
        <v>52932943.63065467</v>
      </c>
      <c r="G6" s="13">
        <f t="shared" ref="G6" si="6">G3-G4+G5</f>
        <v>63507802.666141972</v>
      </c>
      <c r="H6" s="13">
        <f t="shared" ref="H6" si="7">H3-H4+H5</f>
        <v>76195290.169842124</v>
      </c>
      <c r="I6" s="13">
        <f t="shared" ref="I6" si="8">I3-I4+I5</f>
        <v>91417463.686893627</v>
      </c>
    </row>
    <row r="9" spans="1:9" x14ac:dyDescent="0.35">
      <c r="A9" s="17" t="s">
        <v>17</v>
      </c>
      <c r="B9" s="17"/>
      <c r="C9" s="17"/>
      <c r="D9" s="17"/>
      <c r="E9" s="17"/>
      <c r="F9" s="17"/>
      <c r="G9" s="17"/>
      <c r="H9" s="17"/>
      <c r="I9" s="17"/>
    </row>
    <row r="10" spans="1:9" x14ac:dyDescent="0.35">
      <c r="A10" s="18" t="s">
        <v>18</v>
      </c>
      <c r="B10" s="18">
        <v>2024</v>
      </c>
      <c r="C10" s="18">
        <v>2025</v>
      </c>
      <c r="D10" s="18">
        <v>2026</v>
      </c>
      <c r="E10" s="18">
        <v>2027</v>
      </c>
      <c r="F10" s="18">
        <v>2028</v>
      </c>
      <c r="G10" s="37">
        <v>2029</v>
      </c>
      <c r="H10" s="37">
        <v>2030</v>
      </c>
      <c r="I10" s="37">
        <v>2031</v>
      </c>
    </row>
    <row r="11" spans="1:9" x14ac:dyDescent="0.35">
      <c r="A11" s="9" t="s">
        <v>24</v>
      </c>
      <c r="B11" s="10">
        <f>Data!$C$31/Data!$C$3</f>
        <v>5.0221595283373562E-2</v>
      </c>
      <c r="C11" s="10">
        <f>Data!$C$31/Data!$C$3</f>
        <v>5.0221595283373562E-2</v>
      </c>
      <c r="D11" s="10">
        <f>Data!$C$31/Data!$C$3</f>
        <v>5.0221595283373562E-2</v>
      </c>
      <c r="E11" s="10">
        <f>Data!$C$31/Data!$C$3</f>
        <v>5.0221595283373562E-2</v>
      </c>
      <c r="F11" s="10">
        <f>Data!$C$31/Data!$C$3</f>
        <v>5.0221595283373562E-2</v>
      </c>
      <c r="G11" s="10">
        <f>Data!$C$31/Data!$C$3</f>
        <v>5.0221595283373562E-2</v>
      </c>
      <c r="H11" s="10">
        <f>Data!$C$31/Data!$C$3</f>
        <v>5.0221595283373562E-2</v>
      </c>
      <c r="I11" s="10">
        <f>Data!$C$31/Data!$C$3</f>
        <v>5.0221595283373562E-2</v>
      </c>
    </row>
    <row r="12" spans="1:9" x14ac:dyDescent="0.35">
      <c r="A12" s="9" t="s">
        <v>26</v>
      </c>
      <c r="B12" s="11">
        <v>0.11</v>
      </c>
      <c r="C12" s="11">
        <v>0.11</v>
      </c>
      <c r="D12" s="11">
        <v>0.11</v>
      </c>
      <c r="E12" s="11">
        <v>0.11</v>
      </c>
      <c r="F12" s="11">
        <v>0.11</v>
      </c>
      <c r="G12" s="11">
        <v>0.11</v>
      </c>
      <c r="H12" s="11">
        <v>0.11</v>
      </c>
      <c r="I12" s="11">
        <v>0.11</v>
      </c>
    </row>
    <row r="13" spans="1:9" x14ac:dyDescent="0.35">
      <c r="A13" s="9" t="s">
        <v>27</v>
      </c>
      <c r="B13" s="11">
        <v>0.14000000000000001</v>
      </c>
      <c r="C13" s="11">
        <v>0.14000000000000001</v>
      </c>
      <c r="D13" s="11">
        <v>0.14000000000000001</v>
      </c>
      <c r="E13" s="11">
        <v>0.14000000000000001</v>
      </c>
      <c r="F13" s="11">
        <v>0.14000000000000001</v>
      </c>
      <c r="G13" s="11">
        <v>0.14000000000000001</v>
      </c>
      <c r="H13" s="11">
        <v>0.14000000000000001</v>
      </c>
      <c r="I13" s="11">
        <v>0.14000000000000001</v>
      </c>
    </row>
    <row r="14" spans="1:9" x14ac:dyDescent="0.35">
      <c r="A14" s="14" t="s">
        <v>25</v>
      </c>
      <c r="B14" s="15">
        <f>B12+B13</f>
        <v>0.25</v>
      </c>
      <c r="C14" s="15">
        <f>C12+C13</f>
        <v>0.25</v>
      </c>
      <c r="D14" s="15">
        <f>D12+D13</f>
        <v>0.25</v>
      </c>
      <c r="E14" s="15">
        <f>E12+E13</f>
        <v>0.25</v>
      </c>
      <c r="F14" s="15">
        <f>F12+F13</f>
        <v>0.25</v>
      </c>
      <c r="G14" s="15">
        <f t="shared" ref="G14:H14" si="9">G12+G13</f>
        <v>0.25</v>
      </c>
      <c r="H14" s="15">
        <f t="shared" si="9"/>
        <v>0.25</v>
      </c>
      <c r="I14" s="15">
        <f>I12+I13</f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53B1-24E8-47E3-A252-4AC3B015454F}">
  <dimension ref="A1:G39"/>
  <sheetViews>
    <sheetView zoomScale="78" workbookViewId="0">
      <selection activeCell="B8" sqref="B8"/>
    </sheetView>
  </sheetViews>
  <sheetFormatPr defaultRowHeight="14.5" x14ac:dyDescent="0.35"/>
  <cols>
    <col min="1" max="1" width="26.7265625" customWidth="1"/>
    <col min="2" max="2" width="22" customWidth="1"/>
    <col min="3" max="3" width="27.36328125" customWidth="1"/>
    <col min="4" max="4" width="33.54296875" customWidth="1"/>
    <col min="5" max="5" width="17.7265625" customWidth="1"/>
    <col min="6" max="6" width="21.6328125" customWidth="1"/>
    <col min="7" max="7" width="24.453125" customWidth="1"/>
  </cols>
  <sheetData>
    <row r="1" spans="1:5" x14ac:dyDescent="0.35">
      <c r="A1" s="1" t="s">
        <v>0</v>
      </c>
      <c r="B1" s="1">
        <v>2024</v>
      </c>
      <c r="C1" s="1">
        <v>2023</v>
      </c>
      <c r="D1" s="1">
        <v>2022</v>
      </c>
      <c r="E1" s="1">
        <v>2021</v>
      </c>
    </row>
    <row r="2" spans="1:5" x14ac:dyDescent="0.35">
      <c r="A2" s="2" t="s">
        <v>1</v>
      </c>
      <c r="B2" s="3">
        <f>'[1]Balance Sheet'!B2*1.05</f>
        <v>19254162.900000002</v>
      </c>
      <c r="C2" s="3">
        <v>15578319</v>
      </c>
      <c r="D2" s="3">
        <v>14190986</v>
      </c>
      <c r="E2" s="3">
        <v>11593694</v>
      </c>
    </row>
    <row r="3" spans="1:5" x14ac:dyDescent="0.35">
      <c r="A3" s="2" t="s">
        <v>2</v>
      </c>
      <c r="B3" s="3">
        <f>'[1]Balance Sheet'!B3*1.05</f>
        <v>21292215</v>
      </c>
      <c r="C3" s="3">
        <v>19243415</v>
      </c>
      <c r="D3" s="3">
        <v>14326801</v>
      </c>
      <c r="E3" s="3">
        <v>7115292</v>
      </c>
    </row>
    <row r="4" spans="1:5" x14ac:dyDescent="0.35">
      <c r="A4" s="2" t="s">
        <v>3</v>
      </c>
      <c r="B4" s="3">
        <f>'[1]Balance Sheet'!B4*1.05</f>
        <v>40546377.899999999</v>
      </c>
      <c r="C4" s="3">
        <v>34821734</v>
      </c>
      <c r="D4" s="3">
        <v>28517787</v>
      </c>
      <c r="E4" s="3">
        <v>18708986</v>
      </c>
    </row>
    <row r="5" spans="1:5" x14ac:dyDescent="0.35">
      <c r="A5" s="2" t="s">
        <v>4</v>
      </c>
      <c r="B5" s="20">
        <v>8126231</v>
      </c>
      <c r="C5" s="3">
        <v>5864929</v>
      </c>
      <c r="D5" s="3">
        <v>8606375</v>
      </c>
      <c r="E5" s="3">
        <v>5865151</v>
      </c>
    </row>
    <row r="6" spans="1:5" x14ac:dyDescent="0.35">
      <c r="A6" s="2" t="s">
        <v>5</v>
      </c>
      <c r="B6" s="20">
        <v>18472264</v>
      </c>
      <c r="C6" s="3">
        <v>15952212</v>
      </c>
      <c r="D6" s="3">
        <v>6850554</v>
      </c>
      <c r="E6" s="3">
        <v>3335328</v>
      </c>
    </row>
    <row r="10" spans="1:5" x14ac:dyDescent="0.35">
      <c r="A10" s="1" t="s">
        <v>0</v>
      </c>
      <c r="B10" s="1">
        <v>2024</v>
      </c>
      <c r="C10" s="1">
        <v>2023</v>
      </c>
      <c r="D10" s="1">
        <v>2022</v>
      </c>
      <c r="E10" s="1">
        <v>2021</v>
      </c>
    </row>
    <row r="11" spans="1:5" x14ac:dyDescent="0.35">
      <c r="A11" s="2" t="s">
        <v>6</v>
      </c>
      <c r="B11" s="3">
        <f>21.1*10^6</f>
        <v>21100000</v>
      </c>
      <c r="C11" s="3">
        <v>15842029</v>
      </c>
      <c r="D11" s="3">
        <v>13970794</v>
      </c>
      <c r="E11" s="3">
        <v>16373277</v>
      </c>
    </row>
    <row r="12" spans="1:5" x14ac:dyDescent="0.35">
      <c r="A12" s="2" t="s">
        <v>7</v>
      </c>
      <c r="B12" s="3">
        <f>C12*$B$11/$C$11</f>
        <v>13364500.03342375</v>
      </c>
      <c r="C12" s="3">
        <v>10034161</v>
      </c>
      <c r="D12" s="3">
        <v>10015031</v>
      </c>
      <c r="E12" s="3">
        <v>11723387</v>
      </c>
    </row>
    <row r="13" spans="1:5" x14ac:dyDescent="0.35">
      <c r="A13" s="2" t="s">
        <v>8</v>
      </c>
      <c r="B13" s="3">
        <f t="shared" ref="B13:B15" si="0">C13*$B$11/$C$11</f>
        <v>7456749.2585703507</v>
      </c>
      <c r="C13" s="3">
        <v>5598580</v>
      </c>
      <c r="D13" s="3">
        <v>5647067</v>
      </c>
      <c r="E13" s="3">
        <v>7765370</v>
      </c>
    </row>
    <row r="14" spans="1:5" x14ac:dyDescent="0.35">
      <c r="A14" s="2" t="s">
        <v>9</v>
      </c>
      <c r="B14" s="3">
        <f t="shared" si="0"/>
        <v>5922148.61492805</v>
      </c>
      <c r="C14" s="3">
        <v>4446391</v>
      </c>
      <c r="D14" s="3">
        <v>5335282</v>
      </c>
      <c r="E14" s="3">
        <v>7409531</v>
      </c>
    </row>
    <row r="15" spans="1:5" x14ac:dyDescent="0.35">
      <c r="A15" s="2" t="s">
        <v>10</v>
      </c>
      <c r="B15" s="3">
        <f t="shared" si="0"/>
        <v>3954164.9936381257</v>
      </c>
      <c r="C15" s="3">
        <v>2968815</v>
      </c>
      <c r="D15" s="3">
        <v>4213091</v>
      </c>
      <c r="E15" s="3">
        <v>5890193</v>
      </c>
    </row>
    <row r="16" spans="1:5" x14ac:dyDescent="0.35">
      <c r="A16" s="22" t="s">
        <v>29</v>
      </c>
      <c r="B16" s="23">
        <f>B11-B12</f>
        <v>7735499.9665762503</v>
      </c>
      <c r="C16" s="23">
        <f t="shared" ref="C16:E16" si="1">C11-C12</f>
        <v>5807868</v>
      </c>
      <c r="D16" s="23">
        <f t="shared" si="1"/>
        <v>3955763</v>
      </c>
      <c r="E16" s="23">
        <f t="shared" si="1"/>
        <v>4649890</v>
      </c>
    </row>
    <row r="17" spans="1:5" x14ac:dyDescent="0.35">
      <c r="A17" s="24" t="s">
        <v>30</v>
      </c>
      <c r="B17" s="25">
        <f>B16/B11</f>
        <v>0.36661137282351897</v>
      </c>
      <c r="C17" s="25">
        <f t="shared" ref="C17:E17" si="2">C16/C11</f>
        <v>0.36661137282351902</v>
      </c>
      <c r="D17" s="25">
        <f t="shared" si="2"/>
        <v>0.28314518129749822</v>
      </c>
      <c r="E17" s="25">
        <f t="shared" si="2"/>
        <v>0.28399263018637017</v>
      </c>
    </row>
    <row r="18" spans="1:5" x14ac:dyDescent="0.35">
      <c r="A18" s="26" t="s">
        <v>33</v>
      </c>
      <c r="B18" s="27">
        <f>B13/B12</f>
        <v>0.55795198024030102</v>
      </c>
      <c r="C18" s="27">
        <f t="shared" ref="C18:E18" si="3">C13/C12</f>
        <v>0.55795198024030113</v>
      </c>
      <c r="D18" s="27">
        <f t="shared" si="3"/>
        <v>0.56385916329165631</v>
      </c>
      <c r="E18" s="27">
        <f t="shared" si="3"/>
        <v>0.66238280797179172</v>
      </c>
    </row>
    <row r="20" spans="1:5" x14ac:dyDescent="0.35">
      <c r="A20" s="1" t="s">
        <v>0</v>
      </c>
      <c r="B20" s="1">
        <v>2024</v>
      </c>
      <c r="C20" s="1">
        <v>2023</v>
      </c>
      <c r="D20" s="1">
        <v>2022</v>
      </c>
      <c r="E20" s="1">
        <v>2021</v>
      </c>
    </row>
    <row r="21" spans="1:5" x14ac:dyDescent="0.35">
      <c r="A21" s="2" t="s">
        <v>11</v>
      </c>
      <c r="B21" s="3">
        <v>-1471838</v>
      </c>
      <c r="C21" s="3">
        <v>-1191102</v>
      </c>
      <c r="D21" s="3">
        <v>2961815</v>
      </c>
      <c r="E21" s="3">
        <v>2044831</v>
      </c>
    </row>
    <row r="22" spans="1:5" x14ac:dyDescent="0.35">
      <c r="A22" s="2" t="s">
        <v>12</v>
      </c>
      <c r="B22" s="3">
        <v>-1421849</v>
      </c>
      <c r="C22" s="3">
        <v>-4770340</v>
      </c>
      <c r="D22" s="3">
        <v>-6558484</v>
      </c>
      <c r="E22" s="3">
        <v>-3197829</v>
      </c>
    </row>
    <row r="23" spans="1:5" x14ac:dyDescent="0.35">
      <c r="A23" s="2" t="s">
        <v>13</v>
      </c>
      <c r="B23" s="3">
        <v>3898599</v>
      </c>
      <c r="C23" s="3">
        <v>4448108</v>
      </c>
      <c r="D23" s="3">
        <v>5469965</v>
      </c>
      <c r="E23" s="3">
        <v>224041</v>
      </c>
    </row>
    <row r="28" spans="1:5" x14ac:dyDescent="0.35">
      <c r="A28" s="1" t="s">
        <v>0</v>
      </c>
      <c r="B28" s="1">
        <v>2024</v>
      </c>
      <c r="C28" s="1">
        <v>2023</v>
      </c>
      <c r="D28" s="1">
        <v>2022</v>
      </c>
      <c r="E28" s="1">
        <v>2021</v>
      </c>
    </row>
    <row r="29" spans="1:5" x14ac:dyDescent="0.35">
      <c r="A29" s="4" t="s">
        <v>14</v>
      </c>
      <c r="B29" s="5">
        <v>18878538</v>
      </c>
      <c r="C29" s="5">
        <v>16208375</v>
      </c>
      <c r="D29" s="5">
        <v>11170453</v>
      </c>
      <c r="E29" s="5">
        <v>4666461</v>
      </c>
    </row>
    <row r="30" spans="1:5" x14ac:dyDescent="0.35">
      <c r="A30" s="4" t="s">
        <v>15</v>
      </c>
      <c r="B30" s="5">
        <v>17251800</v>
      </c>
      <c r="C30" s="5">
        <v>15586650</v>
      </c>
      <c r="D30" s="5">
        <v>9033915</v>
      </c>
      <c r="E30" s="5">
        <v>4403219</v>
      </c>
    </row>
    <row r="31" spans="1:5" x14ac:dyDescent="0.35">
      <c r="A31" s="4" t="s">
        <v>16</v>
      </c>
      <c r="B31" s="5">
        <f>'[1]Additional Indicators'!B4+'[1]Additional Indicators'!C4</f>
        <v>707947</v>
      </c>
      <c r="C31" s="5">
        <v>966435</v>
      </c>
      <c r="D31" s="5">
        <v>603289</v>
      </c>
      <c r="E31" s="5">
        <v>406401</v>
      </c>
    </row>
    <row r="33" spans="1:7" x14ac:dyDescent="0.35">
      <c r="C33" s="19"/>
      <c r="D33" s="19"/>
    </row>
    <row r="37" spans="1:7" x14ac:dyDescent="0.35">
      <c r="A37" s="7" t="s">
        <v>17</v>
      </c>
    </row>
    <row r="38" spans="1:7" x14ac:dyDescent="0.35">
      <c r="A38" s="7" t="s">
        <v>18</v>
      </c>
      <c r="B38" s="7">
        <v>2024</v>
      </c>
      <c r="C38" s="7">
        <v>2025</v>
      </c>
      <c r="D38" s="7">
        <v>2026</v>
      </c>
      <c r="E38" s="7">
        <v>2027</v>
      </c>
      <c r="F38" s="7">
        <v>2028</v>
      </c>
      <c r="G38">
        <v>2029</v>
      </c>
    </row>
    <row r="39" spans="1:7" x14ac:dyDescent="0.35">
      <c r="A39" s="7" t="s">
        <v>19</v>
      </c>
      <c r="B39" s="6">
        <v>0.28000000000000003</v>
      </c>
      <c r="C39" s="6">
        <v>0.25</v>
      </c>
      <c r="D39" s="6">
        <v>0.25</v>
      </c>
      <c r="E39" s="6">
        <v>0.25</v>
      </c>
      <c r="F39" s="6">
        <v>0.25</v>
      </c>
      <c r="G39" s="6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Multipliers</vt:lpstr>
      <vt:lpstr>Implied Price Calculation</vt:lpstr>
      <vt:lpstr>WACC</vt:lpstr>
      <vt:lpstr>FCF</vt:lpstr>
      <vt:lpstr>Non Working Capital</vt:lpstr>
      <vt:lpstr>Fixed Assets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Sadchikov</dc:creator>
  <cp:lastModifiedBy>Andrey Sadchikov</cp:lastModifiedBy>
  <cp:lastPrinted>2025-03-23T08:59:06Z</cp:lastPrinted>
  <dcterms:created xsi:type="dcterms:W3CDTF">2025-03-23T08:00:21Z</dcterms:created>
  <dcterms:modified xsi:type="dcterms:W3CDTF">2025-03-23T13:06:51Z</dcterms:modified>
</cp:coreProperties>
</file>