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ena\OneDrive\Рабочий стол\вниигаз\войти в айти\данные для кейсов\2 вариант\"/>
    </mc:Choice>
  </mc:AlternateContent>
  <xr:revisionPtr revIDLastSave="0" documentId="13_ncr:1_{B0115F6D-D299-403A-B579-7C9438FF77FB}" xr6:coauthVersionLast="47" xr6:coauthVersionMax="47" xr10:uidLastSave="{00000000-0000-0000-0000-000000000000}"/>
  <bookViews>
    <workbookView xWindow="-108" yWindow="-108" windowWidth="23256" windowHeight="12456" tabRatio="717" activeTab="2" xr2:uid="{00000000-000D-0000-FFFF-FFFF00000000}"/>
  </bookViews>
  <sheets>
    <sheet name="2" sheetId="8" r:id="rId1"/>
    <sheet name="1" sheetId="7" r:id="rId2"/>
    <sheet name="3" sheetId="9" r:id="rId3"/>
  </sheets>
  <definedNames>
    <definedName name="_xlnm._FilterDatabase" localSheetId="2" hidden="1">'3'!$A$1:$A$250</definedName>
    <definedName name="_xlnm.Print_Titles" localSheetId="1">'1'!7:13</definedName>
    <definedName name="_xlnm.Print_Titles" localSheetId="0">'2'!7:13</definedName>
    <definedName name="_xlnm.Print_Titles" localSheetId="2">'3'!7:13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9" i="9" l="1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R149" i="9"/>
  <c r="Q149" i="9"/>
  <c r="P149" i="9"/>
  <c r="O149" i="9"/>
  <c r="N149" i="9"/>
  <c r="M149" i="9"/>
  <c r="L149" i="9"/>
  <c r="R148" i="9"/>
  <c r="Q148" i="9"/>
  <c r="P148" i="9"/>
  <c r="O148" i="9"/>
  <c r="N148" i="9"/>
  <c r="M148" i="9"/>
  <c r="L148" i="9"/>
  <c r="R147" i="9"/>
  <c r="Q147" i="9"/>
  <c r="P147" i="9"/>
  <c r="O147" i="9"/>
  <c r="N147" i="9"/>
  <c r="M147" i="9"/>
  <c r="L147" i="9"/>
  <c r="R146" i="9"/>
  <c r="Q146" i="9"/>
  <c r="P146" i="9"/>
  <c r="O146" i="9"/>
  <c r="N146" i="9"/>
  <c r="M146" i="9"/>
  <c r="L146" i="9"/>
  <c r="R145" i="9"/>
  <c r="Q145" i="9"/>
  <c r="P145" i="9"/>
  <c r="O145" i="9"/>
  <c r="N145" i="9"/>
  <c r="M145" i="9"/>
  <c r="L145" i="9"/>
  <c r="R144" i="9"/>
  <c r="Q144" i="9"/>
  <c r="P144" i="9"/>
  <c r="O144" i="9"/>
  <c r="N144" i="9"/>
  <c r="M144" i="9"/>
  <c r="L144" i="9"/>
  <c r="R143" i="9"/>
  <c r="Q143" i="9"/>
  <c r="P143" i="9"/>
  <c r="O143" i="9"/>
  <c r="N143" i="9"/>
  <c r="M143" i="9"/>
  <c r="L143" i="9"/>
  <c r="R142" i="9"/>
  <c r="Q142" i="9"/>
  <c r="P142" i="9"/>
  <c r="O142" i="9"/>
  <c r="N142" i="9"/>
  <c r="M142" i="9"/>
  <c r="L142" i="9"/>
  <c r="R141" i="9"/>
  <c r="Q141" i="9"/>
  <c r="P141" i="9"/>
  <c r="O141" i="9"/>
  <c r="N141" i="9"/>
  <c r="M141" i="9"/>
  <c r="L141" i="9"/>
  <c r="R140" i="9"/>
  <c r="Q140" i="9"/>
  <c r="P140" i="9"/>
  <c r="O140" i="9"/>
  <c r="N140" i="9"/>
  <c r="M140" i="9"/>
  <c r="L140" i="9"/>
  <c r="R139" i="9"/>
  <c r="Q139" i="9"/>
  <c r="P139" i="9"/>
  <c r="O139" i="9"/>
  <c r="N139" i="9"/>
  <c r="M139" i="9"/>
  <c r="L139" i="9"/>
  <c r="R138" i="9"/>
  <c r="Q138" i="9"/>
  <c r="P138" i="9"/>
  <c r="O138" i="9"/>
  <c r="N138" i="9"/>
  <c r="M138" i="9"/>
  <c r="L138" i="9"/>
  <c r="R137" i="9"/>
  <c r="Q137" i="9"/>
  <c r="P137" i="9"/>
  <c r="O137" i="9"/>
  <c r="N137" i="9"/>
  <c r="M137" i="9"/>
  <c r="L137" i="9"/>
  <c r="R136" i="9"/>
  <c r="Q136" i="9"/>
  <c r="P136" i="9"/>
  <c r="O136" i="9"/>
  <c r="N136" i="9"/>
  <c r="M136" i="9"/>
  <c r="L136" i="9"/>
  <c r="R135" i="9"/>
  <c r="Q135" i="9"/>
  <c r="P135" i="9"/>
  <c r="O135" i="9"/>
  <c r="N135" i="9"/>
  <c r="M135" i="9"/>
  <c r="L135" i="9"/>
  <c r="R134" i="9"/>
  <c r="Q134" i="9"/>
  <c r="P134" i="9"/>
  <c r="O134" i="9"/>
  <c r="N134" i="9"/>
  <c r="M134" i="9"/>
  <c r="L134" i="9"/>
  <c r="R133" i="9"/>
  <c r="Q133" i="9"/>
  <c r="P133" i="9"/>
  <c r="O133" i="9"/>
  <c r="N133" i="9"/>
  <c r="M133" i="9"/>
  <c r="L133" i="9"/>
  <c r="R132" i="9"/>
  <c r="Q132" i="9"/>
  <c r="P132" i="9"/>
  <c r="O132" i="9"/>
  <c r="N132" i="9"/>
  <c r="M132" i="9"/>
  <c r="L132" i="9"/>
  <c r="R131" i="9"/>
  <c r="Q131" i="9"/>
  <c r="P131" i="9"/>
  <c r="O131" i="9"/>
  <c r="N131" i="9"/>
  <c r="M131" i="9"/>
  <c r="L131" i="9"/>
  <c r="R130" i="9"/>
  <c r="Q130" i="9"/>
  <c r="P130" i="9"/>
  <c r="O130" i="9"/>
  <c r="N130" i="9"/>
  <c r="M130" i="9"/>
  <c r="L130" i="9"/>
  <c r="R129" i="9"/>
  <c r="Q129" i="9"/>
  <c r="P129" i="9"/>
  <c r="O129" i="9"/>
  <c r="N129" i="9"/>
  <c r="M129" i="9"/>
  <c r="L129" i="9"/>
  <c r="R128" i="9"/>
  <c r="Q128" i="9"/>
  <c r="P128" i="9"/>
  <c r="O128" i="9"/>
  <c r="N128" i="9"/>
  <c r="M128" i="9"/>
  <c r="L128" i="9"/>
  <c r="R127" i="9"/>
  <c r="Q127" i="9"/>
  <c r="P127" i="9"/>
  <c r="O127" i="9"/>
  <c r="N127" i="9"/>
  <c r="M127" i="9"/>
  <c r="L127" i="9"/>
  <c r="R126" i="9"/>
  <c r="Q126" i="9"/>
  <c r="P126" i="9"/>
  <c r="O126" i="9"/>
  <c r="N126" i="9"/>
  <c r="M126" i="9"/>
  <c r="L126" i="9"/>
  <c r="R125" i="9"/>
  <c r="Q125" i="9"/>
  <c r="P125" i="9"/>
  <c r="O125" i="9"/>
  <c r="N125" i="9"/>
  <c r="M125" i="9"/>
  <c r="L125" i="9"/>
  <c r="R124" i="9"/>
  <c r="Q124" i="9"/>
  <c r="P124" i="9"/>
  <c r="O124" i="9"/>
  <c r="N124" i="9"/>
  <c r="M124" i="9"/>
  <c r="L124" i="9"/>
  <c r="R123" i="9"/>
  <c r="Q123" i="9"/>
  <c r="P123" i="9"/>
  <c r="O123" i="9"/>
  <c r="N123" i="9"/>
  <c r="M123" i="9"/>
  <c r="L123" i="9"/>
  <c r="R122" i="9"/>
  <c r="Q122" i="9"/>
  <c r="P122" i="9"/>
  <c r="O122" i="9"/>
  <c r="N122" i="9"/>
  <c r="M122" i="9"/>
  <c r="L122" i="9"/>
  <c r="R121" i="9"/>
  <c r="Q121" i="9"/>
  <c r="P121" i="9"/>
  <c r="O121" i="9"/>
  <c r="N121" i="9"/>
  <c r="M121" i="9"/>
  <c r="L121" i="9"/>
  <c r="R120" i="9"/>
  <c r="Q120" i="9"/>
  <c r="P120" i="9"/>
  <c r="O120" i="9"/>
  <c r="N120" i="9"/>
  <c r="M120" i="9"/>
  <c r="L120" i="9"/>
  <c r="R119" i="9"/>
  <c r="Q119" i="9"/>
  <c r="P119" i="9"/>
  <c r="O119" i="9"/>
  <c r="N119" i="9"/>
  <c r="M119" i="9"/>
  <c r="L119" i="9"/>
  <c r="R118" i="9"/>
  <c r="Q118" i="9"/>
  <c r="P118" i="9"/>
  <c r="O118" i="9"/>
  <c r="N118" i="9"/>
  <c r="M118" i="9"/>
  <c r="L118" i="9"/>
  <c r="R117" i="9"/>
  <c r="Q117" i="9"/>
  <c r="P117" i="9"/>
  <c r="O117" i="9"/>
  <c r="N117" i="9"/>
  <c r="M117" i="9"/>
  <c r="L117" i="9"/>
  <c r="R116" i="9"/>
  <c r="Q116" i="9"/>
  <c r="P116" i="9"/>
  <c r="O116" i="9"/>
  <c r="N116" i="9"/>
  <c r="M116" i="9"/>
  <c r="L116" i="9"/>
  <c r="R115" i="9"/>
  <c r="Q115" i="9"/>
  <c r="P115" i="9"/>
  <c r="O115" i="9"/>
  <c r="N115" i="9"/>
  <c r="M115" i="9"/>
  <c r="L115" i="9"/>
  <c r="R114" i="9"/>
  <c r="Q114" i="9"/>
  <c r="P114" i="9"/>
  <c r="O114" i="9"/>
  <c r="N114" i="9"/>
  <c r="M114" i="9"/>
  <c r="L114" i="9"/>
  <c r="R113" i="9"/>
  <c r="Q113" i="9"/>
  <c r="P113" i="9"/>
  <c r="O113" i="9"/>
  <c r="N113" i="9"/>
  <c r="M113" i="9"/>
  <c r="L113" i="9"/>
  <c r="R112" i="9"/>
  <c r="Q112" i="9"/>
  <c r="P112" i="9"/>
  <c r="O112" i="9"/>
  <c r="N112" i="9"/>
  <c r="M112" i="9"/>
  <c r="L112" i="9"/>
  <c r="R111" i="9"/>
  <c r="Q111" i="9"/>
  <c r="P111" i="9"/>
  <c r="O111" i="9"/>
  <c r="N111" i="9"/>
  <c r="M111" i="9"/>
  <c r="L111" i="9"/>
  <c r="R110" i="9"/>
  <c r="Q110" i="9"/>
  <c r="P110" i="9"/>
  <c r="O110" i="9"/>
  <c r="N110" i="9"/>
  <c r="M110" i="9"/>
  <c r="L110" i="9"/>
  <c r="R109" i="9"/>
  <c r="Q109" i="9"/>
  <c r="P109" i="9"/>
  <c r="O109" i="9"/>
  <c r="N109" i="9"/>
  <c r="M109" i="9"/>
  <c r="L109" i="9"/>
  <c r="R108" i="9"/>
  <c r="Q108" i="9"/>
  <c r="P108" i="9"/>
  <c r="O108" i="9"/>
  <c r="N108" i="9"/>
  <c r="M108" i="9"/>
  <c r="L108" i="9"/>
  <c r="R107" i="9"/>
  <c r="Q107" i="9"/>
  <c r="P107" i="9"/>
  <c r="O107" i="9"/>
  <c r="N107" i="9"/>
  <c r="M107" i="9"/>
  <c r="L107" i="9"/>
  <c r="R106" i="9"/>
  <c r="Q106" i="9"/>
  <c r="P106" i="9"/>
  <c r="O106" i="9"/>
  <c r="N106" i="9"/>
  <c r="M106" i="9"/>
  <c r="L106" i="9"/>
  <c r="R105" i="9"/>
  <c r="Q105" i="9"/>
  <c r="P105" i="9"/>
  <c r="O105" i="9"/>
  <c r="N105" i="9"/>
  <c r="M105" i="9"/>
  <c r="L105" i="9"/>
  <c r="R104" i="9"/>
  <c r="Q104" i="9"/>
  <c r="P104" i="9"/>
  <c r="O104" i="9"/>
  <c r="N104" i="9"/>
  <c r="M104" i="9"/>
  <c r="L104" i="9"/>
  <c r="R103" i="9"/>
  <c r="Q103" i="9"/>
  <c r="P103" i="9"/>
  <c r="O103" i="9"/>
  <c r="N103" i="9"/>
  <c r="M103" i="9"/>
  <c r="L103" i="9"/>
  <c r="R102" i="9"/>
  <c r="Q102" i="9"/>
  <c r="P102" i="9"/>
  <c r="O102" i="9"/>
  <c r="N102" i="9"/>
  <c r="M102" i="9"/>
  <c r="L102" i="9"/>
  <c r="R101" i="9"/>
  <c r="Q101" i="9"/>
  <c r="P101" i="9"/>
  <c r="O101" i="9"/>
  <c r="N101" i="9"/>
  <c r="M101" i="9"/>
  <c r="L101" i="9"/>
  <c r="R100" i="9"/>
  <c r="Q100" i="9"/>
  <c r="P100" i="9"/>
  <c r="O100" i="9"/>
  <c r="N100" i="9"/>
  <c r="M100" i="9"/>
  <c r="L100" i="9"/>
  <c r="R99" i="9"/>
  <c r="Q99" i="9"/>
  <c r="P99" i="9"/>
  <c r="O99" i="9"/>
  <c r="N99" i="9"/>
  <c r="M99" i="9"/>
  <c r="L99" i="9"/>
  <c r="R98" i="9"/>
  <c r="Q98" i="9"/>
  <c r="P98" i="9"/>
  <c r="O98" i="9"/>
  <c r="N98" i="9"/>
  <c r="M98" i="9"/>
  <c r="L98" i="9"/>
  <c r="R97" i="9"/>
  <c r="Q97" i="9"/>
  <c r="P97" i="9"/>
  <c r="O97" i="9"/>
  <c r="N97" i="9"/>
  <c r="M97" i="9"/>
  <c r="L97" i="9"/>
  <c r="R96" i="9"/>
  <c r="Q96" i="9"/>
  <c r="P96" i="9"/>
  <c r="O96" i="9"/>
  <c r="N96" i="9"/>
  <c r="M96" i="9"/>
  <c r="L96" i="9"/>
  <c r="R95" i="9"/>
  <c r="Q95" i="9"/>
  <c r="P95" i="9"/>
  <c r="O95" i="9"/>
  <c r="N95" i="9"/>
  <c r="M95" i="9"/>
  <c r="L95" i="9"/>
  <c r="R94" i="9"/>
  <c r="Q94" i="9"/>
  <c r="P94" i="9"/>
  <c r="O94" i="9"/>
  <c r="N94" i="9"/>
  <c r="M94" i="9"/>
  <c r="L94" i="9"/>
  <c r="R93" i="9"/>
  <c r="Q93" i="9"/>
  <c r="P93" i="9"/>
  <c r="O93" i="9"/>
  <c r="N93" i="9"/>
  <c r="M93" i="9"/>
  <c r="L93" i="9"/>
  <c r="R92" i="9"/>
  <c r="Q92" i="9"/>
  <c r="P92" i="9"/>
  <c r="O92" i="9"/>
  <c r="N92" i="9"/>
  <c r="M92" i="9"/>
  <c r="L92" i="9"/>
  <c r="R91" i="9"/>
  <c r="Q91" i="9"/>
  <c r="P91" i="9"/>
  <c r="O91" i="9"/>
  <c r="N91" i="9"/>
  <c r="M91" i="9"/>
  <c r="L91" i="9"/>
  <c r="R90" i="9"/>
  <c r="Q90" i="9"/>
  <c r="P90" i="9"/>
  <c r="O90" i="9"/>
  <c r="N90" i="9"/>
  <c r="M90" i="9"/>
  <c r="L90" i="9"/>
  <c r="R89" i="9"/>
  <c r="Q89" i="9"/>
  <c r="P89" i="9"/>
  <c r="O89" i="9"/>
  <c r="N89" i="9"/>
  <c r="M89" i="9"/>
  <c r="L89" i="9"/>
  <c r="R88" i="9"/>
  <c r="Q88" i="9"/>
  <c r="P88" i="9"/>
  <c r="O88" i="9"/>
  <c r="N88" i="9"/>
  <c r="M88" i="9"/>
  <c r="L88" i="9"/>
  <c r="R87" i="9"/>
  <c r="Q87" i="9"/>
  <c r="P87" i="9"/>
  <c r="O87" i="9"/>
  <c r="N87" i="9"/>
  <c r="M87" i="9"/>
  <c r="L87" i="9"/>
  <c r="R86" i="9"/>
  <c r="Q86" i="9"/>
  <c r="P86" i="9"/>
  <c r="O86" i="9"/>
  <c r="N86" i="9"/>
  <c r="M86" i="9"/>
  <c r="L86" i="9"/>
  <c r="R85" i="9"/>
  <c r="Q85" i="9"/>
  <c r="P85" i="9"/>
  <c r="O85" i="9"/>
  <c r="N85" i="9"/>
  <c r="M85" i="9"/>
  <c r="L85" i="9"/>
  <c r="R84" i="9"/>
  <c r="Q84" i="9"/>
  <c r="P84" i="9"/>
  <c r="O84" i="9"/>
  <c r="N84" i="9"/>
  <c r="M84" i="9"/>
  <c r="L84" i="9"/>
  <c r="R83" i="9"/>
  <c r="Q83" i="9"/>
  <c r="P83" i="9"/>
  <c r="O83" i="9"/>
  <c r="N83" i="9"/>
  <c r="M83" i="9"/>
  <c r="L83" i="9"/>
  <c r="R82" i="9"/>
  <c r="Q82" i="9"/>
  <c r="P82" i="9"/>
  <c r="O82" i="9"/>
  <c r="N82" i="9"/>
  <c r="M82" i="9"/>
  <c r="L82" i="9"/>
  <c r="R81" i="9"/>
  <c r="Q81" i="9"/>
  <c r="P81" i="9"/>
  <c r="O81" i="9"/>
  <c r="N81" i="9"/>
  <c r="M81" i="9"/>
  <c r="L81" i="9"/>
  <c r="R80" i="9"/>
  <c r="Q80" i="9"/>
  <c r="P80" i="9"/>
  <c r="O80" i="9"/>
  <c r="N80" i="9"/>
  <c r="M80" i="9"/>
  <c r="L80" i="9"/>
  <c r="R79" i="9"/>
  <c r="Q79" i="9"/>
  <c r="P79" i="9"/>
  <c r="O79" i="9"/>
  <c r="N79" i="9"/>
  <c r="M79" i="9"/>
  <c r="L79" i="9"/>
  <c r="R78" i="9"/>
  <c r="Q78" i="9"/>
  <c r="P78" i="9"/>
  <c r="O78" i="9"/>
  <c r="N78" i="9"/>
  <c r="M78" i="9"/>
  <c r="L78" i="9"/>
  <c r="R77" i="9"/>
  <c r="Q77" i="9"/>
  <c r="P77" i="9"/>
  <c r="O77" i="9"/>
  <c r="N77" i="9"/>
  <c r="M77" i="9"/>
  <c r="L77" i="9"/>
  <c r="R76" i="9"/>
  <c r="Q76" i="9"/>
  <c r="P76" i="9"/>
  <c r="O76" i="9"/>
  <c r="N76" i="9"/>
  <c r="M76" i="9"/>
  <c r="L76" i="9"/>
  <c r="R75" i="9"/>
  <c r="Q75" i="9"/>
  <c r="P75" i="9"/>
  <c r="O75" i="9"/>
  <c r="N75" i="9"/>
  <c r="M75" i="9"/>
  <c r="L75" i="9"/>
  <c r="R74" i="9"/>
  <c r="Q74" i="9"/>
  <c r="P74" i="9"/>
  <c r="O74" i="9"/>
  <c r="N74" i="9"/>
  <c r="M74" i="9"/>
  <c r="L74" i="9"/>
  <c r="R73" i="9"/>
  <c r="Q73" i="9"/>
  <c r="P73" i="9"/>
  <c r="O73" i="9"/>
  <c r="N73" i="9"/>
  <c r="M73" i="9"/>
  <c r="L73" i="9"/>
  <c r="R72" i="9"/>
  <c r="Q72" i="9"/>
  <c r="P72" i="9"/>
  <c r="O72" i="9"/>
  <c r="N72" i="9"/>
  <c r="M72" i="9"/>
  <c r="L72" i="9"/>
  <c r="R71" i="9"/>
  <c r="Q71" i="9"/>
  <c r="P71" i="9"/>
  <c r="O71" i="9"/>
  <c r="N71" i="9"/>
  <c r="M71" i="9"/>
  <c r="L71" i="9"/>
  <c r="R70" i="9"/>
  <c r="Q70" i="9"/>
  <c r="P70" i="9"/>
  <c r="O70" i="9"/>
  <c r="N70" i="9"/>
  <c r="M70" i="9"/>
  <c r="L70" i="9"/>
  <c r="R69" i="9"/>
  <c r="Q69" i="9"/>
  <c r="P69" i="9"/>
  <c r="O69" i="9"/>
  <c r="N69" i="9"/>
  <c r="M69" i="9"/>
  <c r="L69" i="9"/>
  <c r="R68" i="9"/>
  <c r="Q68" i="9"/>
  <c r="P68" i="9"/>
  <c r="O68" i="9"/>
  <c r="N68" i="9"/>
  <c r="M68" i="9"/>
  <c r="L68" i="9"/>
  <c r="R67" i="9"/>
  <c r="Q67" i="9"/>
  <c r="P67" i="9"/>
  <c r="O67" i="9"/>
  <c r="N67" i="9"/>
  <c r="M67" i="9"/>
  <c r="L67" i="9"/>
  <c r="R66" i="9"/>
  <c r="Q66" i="9"/>
  <c r="P66" i="9"/>
  <c r="O66" i="9"/>
  <c r="N66" i="9"/>
  <c r="M66" i="9"/>
  <c r="L66" i="9"/>
  <c r="R65" i="9"/>
  <c r="Q65" i="9"/>
  <c r="P65" i="9"/>
  <c r="O65" i="9"/>
  <c r="N65" i="9"/>
  <c r="M65" i="9"/>
  <c r="L65" i="9"/>
  <c r="R64" i="9"/>
  <c r="Q64" i="9"/>
  <c r="P64" i="9"/>
  <c r="O64" i="9"/>
  <c r="N64" i="9"/>
  <c r="M64" i="9"/>
  <c r="L64" i="9"/>
  <c r="R63" i="9"/>
  <c r="Q63" i="9"/>
  <c r="P63" i="9"/>
  <c r="O63" i="9"/>
  <c r="N63" i="9"/>
  <c r="M63" i="9"/>
  <c r="L63" i="9"/>
  <c r="R62" i="9"/>
  <c r="Q62" i="9"/>
  <c r="P62" i="9"/>
  <c r="O62" i="9"/>
  <c r="N62" i="9"/>
  <c r="M62" i="9"/>
  <c r="L62" i="9"/>
  <c r="R61" i="9"/>
  <c r="Q61" i="9"/>
  <c r="P61" i="9"/>
  <c r="O61" i="9"/>
  <c r="N61" i="9"/>
  <c r="M61" i="9"/>
  <c r="L61" i="9"/>
  <c r="R60" i="9"/>
  <c r="Q60" i="9"/>
  <c r="P60" i="9"/>
  <c r="O60" i="9"/>
  <c r="N60" i="9"/>
  <c r="M60" i="9"/>
  <c r="L60" i="9"/>
  <c r="R59" i="9"/>
  <c r="Q59" i="9"/>
  <c r="P59" i="9"/>
  <c r="O59" i="9"/>
  <c r="N59" i="9"/>
  <c r="M59" i="9"/>
  <c r="L59" i="9"/>
  <c r="R58" i="9"/>
  <c r="Q58" i="9"/>
  <c r="P58" i="9"/>
  <c r="O58" i="9"/>
  <c r="N58" i="9"/>
  <c r="M58" i="9"/>
  <c r="L58" i="9"/>
  <c r="R57" i="9"/>
  <c r="Q57" i="9"/>
  <c r="P57" i="9"/>
  <c r="O57" i="9"/>
  <c r="N57" i="9"/>
  <c r="M57" i="9"/>
  <c r="L57" i="9"/>
  <c r="R56" i="9"/>
  <c r="Q56" i="9"/>
  <c r="P56" i="9"/>
  <c r="O56" i="9"/>
  <c r="N56" i="9"/>
  <c r="M56" i="9"/>
  <c r="L56" i="9"/>
  <c r="R55" i="9"/>
  <c r="Q55" i="9"/>
  <c r="P55" i="9"/>
  <c r="O55" i="9"/>
  <c r="N55" i="9"/>
  <c r="M55" i="9"/>
  <c r="L55" i="9"/>
  <c r="R54" i="9"/>
  <c r="Q54" i="9"/>
  <c r="P54" i="9"/>
  <c r="O54" i="9"/>
  <c r="N54" i="9"/>
  <c r="M54" i="9"/>
  <c r="L54" i="9"/>
  <c r="R53" i="9"/>
  <c r="Q53" i="9"/>
  <c r="P53" i="9"/>
  <c r="O53" i="9"/>
  <c r="N53" i="9"/>
  <c r="M53" i="9"/>
  <c r="L53" i="9"/>
  <c r="R52" i="9"/>
  <c r="Q52" i="9"/>
  <c r="P52" i="9"/>
  <c r="O52" i="9"/>
  <c r="N52" i="9"/>
  <c r="M52" i="9"/>
  <c r="L52" i="9"/>
  <c r="R51" i="9"/>
  <c r="Q51" i="9"/>
  <c r="P51" i="9"/>
  <c r="O51" i="9"/>
  <c r="N51" i="9"/>
  <c r="M51" i="9"/>
  <c r="L51" i="9"/>
  <c r="R50" i="9"/>
  <c r="Q50" i="9"/>
  <c r="P50" i="9"/>
  <c r="O50" i="9"/>
  <c r="N50" i="9"/>
  <c r="M50" i="9"/>
  <c r="L50" i="9"/>
  <c r="R49" i="9"/>
  <c r="Q49" i="9"/>
  <c r="P49" i="9"/>
  <c r="O49" i="9"/>
  <c r="N49" i="9"/>
  <c r="M49" i="9"/>
  <c r="L49" i="9"/>
  <c r="R48" i="9"/>
  <c r="Q48" i="9"/>
  <c r="P48" i="9"/>
  <c r="O48" i="9"/>
  <c r="N48" i="9"/>
  <c r="M48" i="9"/>
  <c r="L48" i="9"/>
  <c r="R47" i="9"/>
  <c r="Q47" i="9"/>
  <c r="P47" i="9"/>
  <c r="O47" i="9"/>
  <c r="N47" i="9"/>
  <c r="M47" i="9"/>
  <c r="L47" i="9"/>
  <c r="R46" i="9"/>
  <c r="Q46" i="9"/>
  <c r="P46" i="9"/>
  <c r="O46" i="9"/>
  <c r="N46" i="9"/>
  <c r="M46" i="9"/>
  <c r="L46" i="9"/>
  <c r="R45" i="9"/>
  <c r="Q45" i="9"/>
  <c r="P45" i="9"/>
  <c r="O45" i="9"/>
  <c r="N45" i="9"/>
  <c r="M45" i="9"/>
  <c r="L45" i="9"/>
  <c r="R44" i="9"/>
  <c r="Q44" i="9"/>
  <c r="P44" i="9"/>
  <c r="O44" i="9"/>
  <c r="N44" i="9"/>
  <c r="M44" i="9"/>
  <c r="L44" i="9"/>
  <c r="R43" i="9"/>
  <c r="Q43" i="9"/>
  <c r="P43" i="9"/>
  <c r="O43" i="9"/>
  <c r="N43" i="9"/>
  <c r="M43" i="9"/>
  <c r="L43" i="9"/>
  <c r="R42" i="9"/>
  <c r="Q42" i="9"/>
  <c r="P42" i="9"/>
  <c r="O42" i="9"/>
  <c r="N42" i="9"/>
  <c r="M42" i="9"/>
  <c r="L42" i="9"/>
  <c r="R41" i="9"/>
  <c r="Q41" i="9"/>
  <c r="P41" i="9"/>
  <c r="O41" i="9"/>
  <c r="N41" i="9"/>
  <c r="M41" i="9"/>
  <c r="L41" i="9"/>
  <c r="R40" i="9"/>
  <c r="Q40" i="9"/>
  <c r="P40" i="9"/>
  <c r="O40" i="9"/>
  <c r="N40" i="9"/>
  <c r="M40" i="9"/>
  <c r="L40" i="9"/>
  <c r="R39" i="9"/>
  <c r="Q39" i="9"/>
  <c r="P39" i="9"/>
  <c r="O39" i="9"/>
  <c r="N39" i="9"/>
  <c r="M39" i="9"/>
  <c r="L39" i="9"/>
  <c r="R38" i="9"/>
  <c r="Q38" i="9"/>
  <c r="P38" i="9"/>
  <c r="O38" i="9"/>
  <c r="N38" i="9"/>
  <c r="M38" i="9"/>
  <c r="L38" i="9"/>
  <c r="R37" i="9"/>
  <c r="Q37" i="9"/>
  <c r="P37" i="9"/>
  <c r="O37" i="9"/>
  <c r="N37" i="9"/>
  <c r="M37" i="9"/>
  <c r="L37" i="9"/>
  <c r="R36" i="9"/>
  <c r="Q36" i="9"/>
  <c r="P36" i="9"/>
  <c r="O36" i="9"/>
  <c r="N36" i="9"/>
  <c r="M36" i="9"/>
  <c r="L36" i="9"/>
  <c r="R35" i="9"/>
  <c r="Q35" i="9"/>
  <c r="P35" i="9"/>
  <c r="O35" i="9"/>
  <c r="N35" i="9"/>
  <c r="M35" i="9"/>
  <c r="L35" i="9"/>
  <c r="R34" i="9"/>
  <c r="Q34" i="9"/>
  <c r="P34" i="9"/>
  <c r="O34" i="9"/>
  <c r="N34" i="9"/>
  <c r="M34" i="9"/>
  <c r="L34" i="9"/>
  <c r="R33" i="9"/>
  <c r="Q33" i="9"/>
  <c r="P33" i="9"/>
  <c r="O33" i="9"/>
  <c r="N33" i="9"/>
  <c r="M33" i="9"/>
  <c r="L33" i="9"/>
  <c r="R32" i="9"/>
  <c r="Q32" i="9"/>
  <c r="P32" i="9"/>
  <c r="O32" i="9"/>
  <c r="N32" i="9"/>
  <c r="M32" i="9"/>
  <c r="L32" i="9"/>
  <c r="R31" i="9"/>
  <c r="Q31" i="9"/>
  <c r="P31" i="9"/>
  <c r="O31" i="9"/>
  <c r="N31" i="9"/>
  <c r="M31" i="9"/>
  <c r="L31" i="9"/>
  <c r="R30" i="9"/>
  <c r="Q30" i="9"/>
  <c r="P30" i="9"/>
  <c r="O30" i="9"/>
  <c r="N30" i="9"/>
  <c r="M30" i="9"/>
  <c r="L30" i="9"/>
  <c r="R29" i="9"/>
  <c r="Q29" i="9"/>
  <c r="P29" i="9"/>
  <c r="O29" i="9"/>
  <c r="N29" i="9"/>
  <c r="M29" i="9"/>
  <c r="L29" i="9"/>
  <c r="R28" i="9"/>
  <c r="Q28" i="9"/>
  <c r="P28" i="9"/>
  <c r="O28" i="9"/>
  <c r="N28" i="9"/>
  <c r="M28" i="9"/>
  <c r="L28" i="9"/>
  <c r="R27" i="9"/>
  <c r="Q27" i="9"/>
  <c r="P27" i="9"/>
  <c r="O27" i="9"/>
  <c r="N27" i="9"/>
  <c r="M27" i="9"/>
  <c r="L27" i="9"/>
  <c r="R26" i="9"/>
  <c r="Q26" i="9"/>
  <c r="P26" i="9"/>
  <c r="O26" i="9"/>
  <c r="N26" i="9"/>
  <c r="M26" i="9"/>
  <c r="L26" i="9"/>
  <c r="R25" i="9"/>
  <c r="Q25" i="9"/>
  <c r="P25" i="9"/>
  <c r="O25" i="9"/>
  <c r="N25" i="9"/>
  <c r="M25" i="9"/>
  <c r="L25" i="9"/>
  <c r="R24" i="9"/>
  <c r="Q24" i="9"/>
  <c r="P24" i="9"/>
  <c r="O24" i="9"/>
  <c r="N24" i="9"/>
  <c r="M24" i="9"/>
  <c r="L24" i="9"/>
  <c r="R23" i="9"/>
  <c r="Q23" i="9"/>
  <c r="P23" i="9"/>
  <c r="O23" i="9"/>
  <c r="N23" i="9"/>
  <c r="M23" i="9"/>
  <c r="L23" i="9"/>
  <c r="R22" i="9"/>
  <c r="Q22" i="9"/>
  <c r="P22" i="9"/>
  <c r="O22" i="9"/>
  <c r="N22" i="9"/>
  <c r="M22" i="9"/>
  <c r="L22" i="9"/>
  <c r="R21" i="9"/>
  <c r="Q21" i="9"/>
  <c r="P21" i="9"/>
  <c r="O21" i="9"/>
  <c r="N21" i="9"/>
  <c r="M21" i="9"/>
  <c r="L21" i="9"/>
  <c r="R20" i="9"/>
  <c r="Q20" i="9"/>
  <c r="P20" i="9"/>
  <c r="O20" i="9"/>
  <c r="N20" i="9"/>
  <c r="M20" i="9"/>
  <c r="L20" i="9"/>
  <c r="R19" i="9"/>
  <c r="Q19" i="9"/>
  <c r="P19" i="9"/>
  <c r="O19" i="9"/>
  <c r="N19" i="9"/>
  <c r="M19" i="9"/>
  <c r="L19" i="9"/>
  <c r="R18" i="9"/>
  <c r="Q18" i="9"/>
  <c r="P18" i="9"/>
  <c r="O18" i="9"/>
  <c r="N18" i="9"/>
  <c r="M18" i="9"/>
  <c r="L18" i="9"/>
  <c r="R17" i="9"/>
  <c r="Q17" i="9"/>
  <c r="P17" i="9"/>
  <c r="O17" i="9"/>
  <c r="N17" i="9"/>
  <c r="M17" i="9"/>
  <c r="L17" i="9"/>
  <c r="R16" i="9"/>
  <c r="Q16" i="9"/>
  <c r="P16" i="9"/>
  <c r="O16" i="9"/>
  <c r="N16" i="9"/>
  <c r="M16" i="9"/>
  <c r="L16" i="9"/>
  <c r="R15" i="9"/>
  <c r="Q15" i="9"/>
  <c r="P15" i="9"/>
  <c r="O15" i="9"/>
  <c r="N15" i="9"/>
  <c r="M15" i="9"/>
  <c r="L15" i="9"/>
  <c r="B16" i="9" l="1"/>
  <c r="B17" i="9"/>
  <c r="B18" i="9"/>
  <c r="B19" i="9"/>
  <c r="B20" i="9"/>
  <c r="B22" i="9"/>
  <c r="B23" i="9"/>
  <c r="B24" i="9"/>
  <c r="B25" i="9"/>
  <c r="B27" i="9"/>
  <c r="B28" i="9"/>
  <c r="B29" i="9"/>
  <c r="B30" i="9"/>
  <c r="B31" i="9"/>
  <c r="B33" i="9"/>
  <c r="B34" i="9"/>
  <c r="B35" i="9"/>
  <c r="B36" i="9"/>
  <c r="B37" i="9"/>
  <c r="B39" i="9"/>
  <c r="B40" i="9"/>
  <c r="B41" i="9"/>
  <c r="B42" i="9"/>
  <c r="B44" i="9"/>
  <c r="B45" i="9"/>
  <c r="B46" i="9"/>
  <c r="B47" i="9"/>
  <c r="B48" i="9"/>
  <c r="B50" i="9"/>
  <c r="B51" i="9"/>
  <c r="B52" i="9"/>
  <c r="B53" i="9"/>
  <c r="B55" i="9"/>
  <c r="B56" i="9"/>
  <c r="B57" i="9"/>
  <c r="B58" i="9"/>
  <c r="B59" i="9"/>
  <c r="B61" i="9"/>
  <c r="B62" i="9"/>
  <c r="B64" i="9"/>
  <c r="B65" i="9"/>
  <c r="B66" i="9"/>
  <c r="B67" i="9"/>
  <c r="B69" i="9"/>
  <c r="B70" i="9"/>
  <c r="B72" i="9"/>
  <c r="B73" i="9"/>
  <c r="B75" i="9"/>
  <c r="B76" i="9"/>
  <c r="B78" i="9"/>
  <c r="B79" i="9"/>
  <c r="B80" i="9"/>
  <c r="B82" i="9"/>
  <c r="B83" i="9"/>
  <c r="B85" i="9"/>
  <c r="B87" i="9"/>
  <c r="B88" i="9"/>
  <c r="B89" i="9"/>
  <c r="B90" i="9"/>
  <c r="B92" i="9"/>
  <c r="B93" i="9"/>
  <c r="B95" i="9"/>
  <c r="B96" i="9"/>
  <c r="B97" i="9"/>
  <c r="B98" i="9"/>
  <c r="B99" i="9"/>
  <c r="B100" i="9"/>
  <c r="B102" i="9"/>
  <c r="B103" i="9"/>
  <c r="B104" i="9"/>
  <c r="B105" i="9"/>
  <c r="B106" i="9"/>
  <c r="B107" i="9"/>
  <c r="B109" i="9"/>
  <c r="B110" i="9"/>
  <c r="B111" i="9"/>
  <c r="B112" i="9"/>
  <c r="B113" i="9"/>
  <c r="B114" i="9"/>
  <c r="B116" i="9"/>
  <c r="B117" i="9"/>
  <c r="B118" i="9"/>
  <c r="B119" i="9"/>
  <c r="B120" i="9"/>
  <c r="B121" i="9"/>
  <c r="B123" i="9"/>
  <c r="B124" i="9"/>
  <c r="B125" i="9"/>
  <c r="B126" i="9"/>
  <c r="B127" i="9"/>
  <c r="B128" i="9"/>
  <c r="B129" i="9"/>
  <c r="B130" i="9"/>
  <c r="B132" i="9"/>
  <c r="B133" i="9"/>
  <c r="B134" i="9"/>
  <c r="B135" i="9"/>
  <c r="B136" i="9"/>
  <c r="B138" i="9"/>
  <c r="B140" i="9"/>
  <c r="B142" i="9"/>
  <c r="B144" i="9"/>
  <c r="B146" i="9"/>
  <c r="B147" i="9"/>
  <c r="B149" i="9"/>
  <c r="B150" i="9"/>
  <c r="B151" i="9"/>
  <c r="B152" i="9"/>
  <c r="B153" i="9"/>
  <c r="B154" i="9"/>
  <c r="B155" i="9"/>
  <c r="B156" i="9"/>
  <c r="B15" i="9"/>
</calcChain>
</file>

<file path=xl/sharedStrings.xml><?xml version="1.0" encoding="utf-8"?>
<sst xmlns="http://schemas.openxmlformats.org/spreadsheetml/2006/main" count="289" uniqueCount="152">
  <si>
    <t>Режим работы</t>
  </si>
  <si>
    <t>Приложение №1 к форме №293</t>
  </si>
  <si>
    <t xml:space="preserve">Утверждена приказом </t>
  </si>
  <si>
    <t>Е Ж Е М Е С Я Ч Н Ы Й  Э К С П Л У А Т А Ц И О Н Н Ы Й  Р А П О Р Т</t>
  </si>
  <si>
    <t>№ п/п</t>
  </si>
  <si>
    <t>№ скважины</t>
  </si>
  <si>
    <t>Сред. сут. дебит скв. тыс.м3</t>
  </si>
  <si>
    <t>Добыто газа за месяц, тыс.м3</t>
  </si>
  <si>
    <t>Добыто газа с начала года, тыс.м3</t>
  </si>
  <si>
    <t>Добыто газа с начала разработки, тыс.м3</t>
  </si>
  <si>
    <t>Часы</t>
  </si>
  <si>
    <t>Календарн. время</t>
  </si>
  <si>
    <t>Код простоя</t>
  </si>
  <si>
    <t>Р</t>
  </si>
  <si>
    <t>Т</t>
  </si>
  <si>
    <t>Утилизирован.</t>
  </si>
  <si>
    <t>Вып. в воздух</t>
  </si>
  <si>
    <t>Всего добыто</t>
  </si>
  <si>
    <t>Работы</t>
  </si>
  <si>
    <t>Простоя</t>
  </si>
  <si>
    <t>Буф,</t>
  </si>
  <si>
    <t>Зат.,</t>
  </si>
  <si>
    <t>Вх.,</t>
  </si>
  <si>
    <t>Уст.</t>
  </si>
  <si>
    <t>Вх</t>
  </si>
  <si>
    <t>ати</t>
  </si>
  <si>
    <t>°C</t>
  </si>
  <si>
    <t>Скважины работавшие без простоя</t>
  </si>
  <si>
    <t>Скважины простоявшие часть времени</t>
  </si>
  <si>
    <t>Скважины не работавшие в этом месяце</t>
  </si>
  <si>
    <t>-</t>
  </si>
  <si>
    <t>Скважины не состоящие на балансе</t>
  </si>
  <si>
    <t>Ранее работавшие скважины</t>
  </si>
  <si>
    <t>Итого</t>
  </si>
  <si>
    <t>Тех.потери</t>
  </si>
  <si>
    <t>Всего</t>
  </si>
  <si>
    <t>3021</t>
  </si>
  <si>
    <t>3022</t>
  </si>
  <si>
    <t>3023</t>
  </si>
  <si>
    <t>3025</t>
  </si>
  <si>
    <t>3027</t>
  </si>
  <si>
    <t>3028</t>
  </si>
  <si>
    <t>3031</t>
  </si>
  <si>
    <t>3032</t>
  </si>
  <si>
    <t>3035</t>
  </si>
  <si>
    <t>3038</t>
  </si>
  <si>
    <t>3041</t>
  </si>
  <si>
    <t>3042</t>
  </si>
  <si>
    <t>3043</t>
  </si>
  <si>
    <t>3044</t>
  </si>
  <si>
    <t>3045</t>
  </si>
  <si>
    <t>3052</t>
  </si>
  <si>
    <t>3053</t>
  </si>
  <si>
    <t>3055</t>
  </si>
  <si>
    <t>3056</t>
  </si>
  <si>
    <t>3057</t>
  </si>
  <si>
    <t>3071</t>
  </si>
  <si>
    <t>3076</t>
  </si>
  <si>
    <t>3077</t>
  </si>
  <si>
    <t>3078</t>
  </si>
  <si>
    <t>3081</t>
  </si>
  <si>
    <t>3082</t>
  </si>
  <si>
    <t>3083</t>
  </si>
  <si>
    <t>3084</t>
  </si>
  <si>
    <t>3085</t>
  </si>
  <si>
    <t>3100</t>
  </si>
  <si>
    <t>3105</t>
  </si>
  <si>
    <t>3107</t>
  </si>
  <si>
    <t>3108</t>
  </si>
  <si>
    <t>3112</t>
  </si>
  <si>
    <t>3115</t>
  </si>
  <si>
    <t>3116</t>
  </si>
  <si>
    <t>3117</t>
  </si>
  <si>
    <t>3118</t>
  </si>
  <si>
    <t>3155</t>
  </si>
  <si>
    <t>3158</t>
  </si>
  <si>
    <t>3172</t>
  </si>
  <si>
    <t>3173</t>
  </si>
  <si>
    <t>3176</t>
  </si>
  <si>
    <t>3177</t>
  </si>
  <si>
    <t>3024</t>
  </si>
  <si>
    <t>3026</t>
  </si>
  <si>
    <t>3033</t>
  </si>
  <si>
    <t>3037</t>
  </si>
  <si>
    <t>3047</t>
  </si>
  <si>
    <t>3048</t>
  </si>
  <si>
    <t>3051</t>
  </si>
  <si>
    <t>3054</t>
  </si>
  <si>
    <t>3058</t>
  </si>
  <si>
    <t>3074</t>
  </si>
  <si>
    <t>3075</t>
  </si>
  <si>
    <t>3086</t>
  </si>
  <si>
    <t>3101</t>
  </si>
  <si>
    <t>3102</t>
  </si>
  <si>
    <t>3103</t>
  </si>
  <si>
    <t>3104</t>
  </si>
  <si>
    <t>3111</t>
  </si>
  <si>
    <t>3113</t>
  </si>
  <si>
    <t>3121</t>
  </si>
  <si>
    <t>3122</t>
  </si>
  <si>
    <t>3123</t>
  </si>
  <si>
    <t>3124</t>
  </si>
  <si>
    <t>3125</t>
  </si>
  <si>
    <t>3128</t>
  </si>
  <si>
    <t>3132</t>
  </si>
  <si>
    <t>3133</t>
  </si>
  <si>
    <t>3134</t>
  </si>
  <si>
    <t>3136</t>
  </si>
  <si>
    <t>3137</t>
  </si>
  <si>
    <t>3138</t>
  </si>
  <si>
    <t>3141</t>
  </si>
  <si>
    <t>3142</t>
  </si>
  <si>
    <t>3143</t>
  </si>
  <si>
    <t>3144</t>
  </si>
  <si>
    <t>3145</t>
  </si>
  <si>
    <t>3146</t>
  </si>
  <si>
    <t>3151</t>
  </si>
  <si>
    <t>3152</t>
  </si>
  <si>
    <t>3153</t>
  </si>
  <si>
    <t>3154</t>
  </si>
  <si>
    <t>3156</t>
  </si>
  <si>
    <t>3157</t>
  </si>
  <si>
    <t>3161</t>
  </si>
  <si>
    <t>3162</t>
  </si>
  <si>
    <t>3163</t>
  </si>
  <si>
    <t>3164</t>
  </si>
  <si>
    <t>3165</t>
  </si>
  <si>
    <t>3166</t>
  </si>
  <si>
    <t>3167</t>
  </si>
  <si>
    <t>3168</t>
  </si>
  <si>
    <t>3171</t>
  </si>
  <si>
    <t>3174</t>
  </si>
  <si>
    <t>3178</t>
  </si>
  <si>
    <t>3036</t>
  </si>
  <si>
    <t>3046</t>
  </si>
  <si>
    <t>3114</t>
  </si>
  <si>
    <t>3127</t>
  </si>
  <si>
    <t>3131</t>
  </si>
  <si>
    <t>3147</t>
  </si>
  <si>
    <t>3148</t>
  </si>
  <si>
    <t>3175</t>
  </si>
  <si>
    <t>3034</t>
  </si>
  <si>
    <t>3072</t>
  </si>
  <si>
    <t>3073</t>
  </si>
  <si>
    <t>3126</t>
  </si>
  <si>
    <t>3135</t>
  </si>
  <si>
    <t>Организация: ООО «Войти в АйТи»</t>
  </si>
  <si>
    <t>ООО "Войти в АйТи"</t>
  </si>
  <si>
    <t>ООО 'Войти в АйТи' Цировое месторождение 1 за декабрь 2023 г.</t>
  </si>
  <si>
    <t>№123 от 4.02.2022г.</t>
  </si>
  <si>
    <t>ООО 'Войти в АйТи' Цировое месторождение 2 за декабрь 2023 г.</t>
  </si>
  <si>
    <t>ООО 'Войти в АйТи' Цировое месторождение 3 за декабрь 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</si>
</sst>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0"/>
      <name val="Arial Cyr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 Cyr"/>
    </font>
    <font>
      <sz val="11"/>
      <name val="Times New Roman Cyr"/>
    </font>
    <font>
      <sz val="8"/>
      <name val="Times New Roman Cyr"/>
    </font>
    <font>
      <sz val="10"/>
      <color indexed="64"/>
      <name val="Arial"/>
      <family val="2"/>
      <charset val="204"/>
    </font>
    <font>
      <sz val="10"/>
      <name val="Times New Roman"/>
      <family val="1"/>
      <charset val="204"/>
    </font>
    <font>
      <sz val="10"/>
      <name val="Times New Roman Cyr"/>
    </font>
    <font>
      <sz val="10"/>
      <name val="Times New Roman Cyr"/>
    </font>
    <font>
      <sz val="11"/>
      <color indexed="6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1"/>
    <xf numFmtId="0" fontId="3" fillId="0" borderId="0" xfId="1" applyFont="1"/>
    <xf numFmtId="0" fontId="5" fillId="0" borderId="0" xfId="1" applyFont="1"/>
    <xf numFmtId="0" fontId="5" fillId="0" borderId="0" xfId="2" applyFont="1" applyAlignment="1">
      <alignment horizontal="right"/>
    </xf>
    <xf numFmtId="0" fontId="3" fillId="0" borderId="4" xfId="1" applyFont="1" applyBorder="1"/>
    <xf numFmtId="0" fontId="4" fillId="0" borderId="0" xfId="2" applyFont="1" applyAlignment="1">
      <alignment horizontal="right"/>
    </xf>
    <xf numFmtId="165" fontId="7" fillId="0" borderId="0" xfId="0" applyNumberFormat="1" applyFont="1"/>
    <xf numFmtId="164" fontId="7" fillId="0" borderId="0" xfId="0" applyNumberFormat="1" applyFont="1"/>
    <xf numFmtId="1" fontId="7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/>
    <xf numFmtId="0" fontId="7" fillId="0" borderId="5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3" fillId="0" borderId="0" xfId="1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1" fontId="3" fillId="0" borderId="0" xfId="1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7" fillId="0" borderId="5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1" fontId="2" fillId="0" borderId="5" xfId="0" applyNumberFormat="1" applyFont="1" applyBorder="1" applyAlignment="1">
      <alignment horizontal="center" vertical="center" textRotation="90" wrapText="1"/>
    </xf>
    <xf numFmtId="1" fontId="2" fillId="0" borderId="11" xfId="0" applyNumberFormat="1" applyFont="1" applyBorder="1" applyAlignment="1">
      <alignment horizontal="center" vertical="center" textRotation="90" wrapText="1"/>
    </xf>
    <xf numFmtId="1" fontId="2" fillId="0" borderId="3" xfId="0" applyNumberFormat="1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Обычный" xfId="0" builtinId="0"/>
    <cellStyle name="Обычный_Июль. Отчет по реализации и транзиту электроэнергии" xfId="1" xr:uid="{00000000-0005-0000-0000-000001000000}"/>
    <cellStyle name="Обычный_Форма №294-ПД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250"/>
  <sheetViews>
    <sheetView zoomScale="55" zoomScaleNormal="55" workbookViewId="0">
      <selection activeCell="AA52" sqref="AA52"/>
    </sheetView>
  </sheetViews>
  <sheetFormatPr defaultRowHeight="13.2" x14ac:dyDescent="0.25"/>
  <cols>
    <col min="1" max="1" width="5" style="20" customWidth="1"/>
    <col min="2" max="2" width="6.88671875" style="15" customWidth="1"/>
    <col min="3" max="3" width="6.33203125" style="1" customWidth="1"/>
    <col min="4" max="4" width="6" style="1" customWidth="1"/>
    <col min="5" max="5" width="5.5546875" style="1" customWidth="1"/>
    <col min="6" max="6" width="5.33203125" style="1" customWidth="1"/>
    <col min="7" max="7" width="5.6640625" style="1" customWidth="1"/>
    <col min="8" max="8" width="7.109375" style="2" customWidth="1"/>
    <col min="9" max="9" width="12.109375" style="2" customWidth="1"/>
    <col min="10" max="10" width="9.88671875" style="2" customWidth="1"/>
    <col min="11" max="11" width="13.33203125" style="2" customWidth="1"/>
    <col min="12" max="12" width="14" style="2" customWidth="1"/>
    <col min="13" max="13" width="10.88671875" style="2" customWidth="1"/>
    <col min="14" max="14" width="14.44140625" style="2" customWidth="1"/>
    <col min="15" max="15" width="15.88671875" style="2" customWidth="1"/>
    <col min="16" max="16" width="13.5546875" style="2" customWidth="1"/>
    <col min="17" max="17" width="16.109375" style="2" customWidth="1"/>
    <col min="18" max="18" width="7.6640625" style="2" customWidth="1"/>
    <col min="19" max="19" width="6.88671875" style="2" customWidth="1"/>
    <col min="20" max="20" width="7.33203125" style="2" customWidth="1"/>
    <col min="21" max="21" width="5.5546875" style="2" customWidth="1"/>
  </cols>
  <sheetData>
    <row r="1" spans="1:21" s="5" customFormat="1" ht="15.75" customHeight="1" x14ac:dyDescent="0.3">
      <c r="A1" s="17"/>
      <c r="B1" s="16"/>
      <c r="D1" s="6"/>
      <c r="E1" s="6"/>
      <c r="F1" s="6"/>
      <c r="G1" s="6"/>
      <c r="H1" s="6"/>
      <c r="R1" s="7"/>
      <c r="S1" s="7"/>
      <c r="T1" s="7"/>
      <c r="U1" s="8" t="s">
        <v>1</v>
      </c>
    </row>
    <row r="2" spans="1:21" s="5" customFormat="1" ht="15.75" customHeight="1" x14ac:dyDescent="0.3">
      <c r="A2" s="18"/>
      <c r="B2" s="16"/>
      <c r="C2" s="6"/>
      <c r="D2" s="6"/>
      <c r="E2" s="6"/>
      <c r="F2" s="6"/>
      <c r="G2" s="6"/>
      <c r="H2" s="6"/>
      <c r="R2" s="7"/>
      <c r="S2" s="7"/>
      <c r="T2" s="7"/>
      <c r="U2" s="8" t="s">
        <v>2</v>
      </c>
    </row>
    <row r="3" spans="1:21" s="5" customFormat="1" ht="15.75" customHeight="1" x14ac:dyDescent="0.3">
      <c r="A3" s="26" t="s">
        <v>146</v>
      </c>
      <c r="B3" s="16"/>
      <c r="C3" s="6"/>
      <c r="D3" s="9"/>
      <c r="E3" s="9"/>
      <c r="F3" s="9"/>
      <c r="G3" s="9"/>
      <c r="H3" s="6"/>
      <c r="R3" s="7"/>
      <c r="S3" s="7"/>
      <c r="T3" s="7"/>
      <c r="U3" s="8" t="s">
        <v>147</v>
      </c>
    </row>
    <row r="4" spans="1:21" s="5" customFormat="1" ht="15.75" customHeight="1" x14ac:dyDescent="0.3">
      <c r="A4" s="18"/>
      <c r="B4" s="16"/>
      <c r="C4" s="6"/>
      <c r="D4" s="6"/>
      <c r="E4" s="6"/>
      <c r="F4" s="6"/>
      <c r="G4" s="6"/>
      <c r="H4" s="6"/>
      <c r="R4" s="7"/>
      <c r="S4" s="7"/>
      <c r="T4" s="7"/>
      <c r="U4" s="8" t="s">
        <v>149</v>
      </c>
    </row>
    <row r="5" spans="1:21" s="5" customFormat="1" ht="15.75" customHeight="1" x14ac:dyDescent="0.3">
      <c r="A5" s="18"/>
      <c r="B5" s="16"/>
      <c r="C5" s="6"/>
      <c r="D5" s="6"/>
      <c r="E5" s="6"/>
      <c r="F5" s="6"/>
      <c r="G5" s="6"/>
      <c r="H5" s="6"/>
      <c r="U5" s="10"/>
    </row>
    <row r="6" spans="1:21" x14ac:dyDescent="0.25">
      <c r="A6" s="35" t="s">
        <v>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13.5" customHeight="1" x14ac:dyDescent="0.25">
      <c r="A7" s="36" t="s">
        <v>150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ht="18" customHeight="1" x14ac:dyDescent="0.25">
      <c r="A8" s="37" t="s">
        <v>4</v>
      </c>
      <c r="B8" s="49" t="s">
        <v>5</v>
      </c>
      <c r="C8" s="43" t="s">
        <v>0</v>
      </c>
      <c r="D8" s="44"/>
      <c r="E8" s="44"/>
      <c r="F8" s="44"/>
      <c r="G8" s="45"/>
      <c r="H8" s="49" t="s">
        <v>6</v>
      </c>
      <c r="I8" s="43" t="s">
        <v>7</v>
      </c>
      <c r="J8" s="44"/>
      <c r="K8" s="45"/>
      <c r="L8" s="43" t="s">
        <v>8</v>
      </c>
      <c r="M8" s="44"/>
      <c r="N8" s="45"/>
      <c r="O8" s="43" t="s">
        <v>9</v>
      </c>
      <c r="P8" s="44"/>
      <c r="Q8" s="45"/>
      <c r="R8" s="52" t="s">
        <v>10</v>
      </c>
      <c r="S8" s="53"/>
      <c r="T8" s="49" t="s">
        <v>11</v>
      </c>
      <c r="U8" s="49" t="s">
        <v>12</v>
      </c>
    </row>
    <row r="9" spans="1:21" ht="13.5" customHeight="1" x14ac:dyDescent="0.25">
      <c r="A9" s="38"/>
      <c r="B9" s="50"/>
      <c r="C9" s="46"/>
      <c r="D9" s="47"/>
      <c r="E9" s="47"/>
      <c r="F9" s="47"/>
      <c r="G9" s="48"/>
      <c r="H9" s="50"/>
      <c r="I9" s="46"/>
      <c r="J9" s="47"/>
      <c r="K9" s="48"/>
      <c r="L9" s="46"/>
      <c r="M9" s="47"/>
      <c r="N9" s="48"/>
      <c r="O9" s="46"/>
      <c r="P9" s="47"/>
      <c r="Q9" s="48"/>
      <c r="R9" s="54"/>
      <c r="S9" s="55"/>
      <c r="T9" s="50"/>
      <c r="U9" s="50"/>
    </row>
    <row r="10" spans="1:21" ht="12.75" customHeight="1" x14ac:dyDescent="0.25">
      <c r="A10" s="38"/>
      <c r="B10" s="50"/>
      <c r="C10" s="4" t="s">
        <v>13</v>
      </c>
      <c r="D10" s="4" t="s">
        <v>13</v>
      </c>
      <c r="E10" s="4" t="s">
        <v>13</v>
      </c>
      <c r="F10" s="4" t="s">
        <v>14</v>
      </c>
      <c r="G10" s="4" t="s">
        <v>14</v>
      </c>
      <c r="H10" s="50"/>
      <c r="I10" s="32" t="s">
        <v>15</v>
      </c>
      <c r="J10" s="32" t="s">
        <v>16</v>
      </c>
      <c r="K10" s="32" t="s">
        <v>17</v>
      </c>
      <c r="L10" s="32" t="s">
        <v>15</v>
      </c>
      <c r="M10" s="32" t="s">
        <v>16</v>
      </c>
      <c r="N10" s="32" t="s">
        <v>17</v>
      </c>
      <c r="O10" s="32" t="s">
        <v>15</v>
      </c>
      <c r="P10" s="32" t="s">
        <v>16</v>
      </c>
      <c r="Q10" s="32" t="s">
        <v>17</v>
      </c>
      <c r="R10" s="32" t="s">
        <v>18</v>
      </c>
      <c r="S10" s="32" t="s">
        <v>19</v>
      </c>
      <c r="T10" s="50"/>
      <c r="U10" s="50"/>
    </row>
    <row r="11" spans="1:21" x14ac:dyDescent="0.25">
      <c r="A11" s="38"/>
      <c r="B11" s="50"/>
      <c r="C11" s="4" t="s">
        <v>20</v>
      </c>
      <c r="D11" s="4" t="s">
        <v>21</v>
      </c>
      <c r="E11" s="4" t="s">
        <v>22</v>
      </c>
      <c r="F11" s="4" t="s">
        <v>23</v>
      </c>
      <c r="G11" s="4" t="s">
        <v>24</v>
      </c>
      <c r="H11" s="50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50"/>
      <c r="U11" s="50"/>
    </row>
    <row r="12" spans="1:21" ht="13.5" customHeight="1" x14ac:dyDescent="0.25">
      <c r="A12" s="39"/>
      <c r="B12" s="51"/>
      <c r="C12" s="3" t="s">
        <v>25</v>
      </c>
      <c r="D12" s="3" t="s">
        <v>25</v>
      </c>
      <c r="E12" s="3" t="s">
        <v>25</v>
      </c>
      <c r="F12" s="3" t="s">
        <v>26</v>
      </c>
      <c r="G12" s="3" t="s">
        <v>26</v>
      </c>
      <c r="H12" s="5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51"/>
      <c r="U12" s="51"/>
    </row>
    <row r="13" spans="1:21" ht="13.5" customHeight="1" x14ac:dyDescent="0.25">
      <c r="A13" s="19"/>
      <c r="B13" s="3"/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  <c r="L13" s="3">
        <v>10</v>
      </c>
      <c r="M13" s="3">
        <v>11</v>
      </c>
      <c r="N13" s="3">
        <v>12</v>
      </c>
      <c r="O13" s="3">
        <v>13</v>
      </c>
      <c r="P13" s="3">
        <v>14</v>
      </c>
      <c r="Q13" s="3">
        <v>15</v>
      </c>
      <c r="R13" s="3">
        <v>16</v>
      </c>
      <c r="S13" s="3">
        <v>17</v>
      </c>
      <c r="T13" s="3">
        <v>18</v>
      </c>
      <c r="U13" s="3">
        <v>19</v>
      </c>
    </row>
    <row r="14" spans="1:21" x14ac:dyDescent="0.25">
      <c r="A14" s="20" t="s">
        <v>27</v>
      </c>
      <c r="B14" s="14"/>
      <c r="C14" s="12"/>
      <c r="D14" s="12"/>
      <c r="E14" s="12"/>
      <c r="F14" s="12"/>
      <c r="G14" s="12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3"/>
      <c r="S14" s="13"/>
      <c r="T14" s="13"/>
      <c r="U14" s="13"/>
    </row>
    <row r="15" spans="1:21" ht="14.4" x14ac:dyDescent="0.3">
      <c r="A15" s="21">
        <v>1</v>
      </c>
      <c r="B15" s="14">
        <v>2153</v>
      </c>
      <c r="C15" s="12">
        <v>9.6999998092651403</v>
      </c>
      <c r="D15" s="12">
        <v>6</v>
      </c>
      <c r="E15" s="12">
        <v>4.3000001907348597</v>
      </c>
      <c r="F15" s="12">
        <v>1</v>
      </c>
      <c r="G15" s="12">
        <v>-15</v>
      </c>
      <c r="H15" s="13">
        <v>29</v>
      </c>
      <c r="I15">
        <v>2861.9993600000003</v>
      </c>
      <c r="J15">
        <v>0</v>
      </c>
      <c r="K15">
        <v>2861.9993600000003</v>
      </c>
      <c r="L15">
        <v>31314.655159999998</v>
      </c>
      <c r="M15">
        <v>80.061759999999992</v>
      </c>
      <c r="N15">
        <v>31394.716920000003</v>
      </c>
      <c r="O15">
        <v>1156567.59032</v>
      </c>
      <c r="P15">
        <v>1911.7210000000002</v>
      </c>
      <c r="Q15">
        <v>1158479.3113200001</v>
      </c>
      <c r="R15" s="13">
        <v>744</v>
      </c>
      <c r="S15" s="13">
        <v>0</v>
      </c>
      <c r="T15" s="13">
        <v>744</v>
      </c>
      <c r="U15" s="13">
        <v>0</v>
      </c>
    </row>
    <row r="16" spans="1:21" ht="14.4" x14ac:dyDescent="0.3">
      <c r="A16" s="21">
        <v>2</v>
      </c>
      <c r="B16" s="14">
        <v>2154</v>
      </c>
      <c r="C16" s="12">
        <v>9.1999998092651403</v>
      </c>
      <c r="D16" s="12">
        <v>5.0999999046325701</v>
      </c>
      <c r="E16" s="12">
        <v>4.3000001907348597</v>
      </c>
      <c r="F16" s="12">
        <v>0</v>
      </c>
      <c r="G16" s="12">
        <v>-15</v>
      </c>
      <c r="H16" s="13">
        <v>21</v>
      </c>
      <c r="I16">
        <v>2026.1066800000001</v>
      </c>
      <c r="J16">
        <v>0</v>
      </c>
      <c r="K16">
        <v>2026.1066800000001</v>
      </c>
      <c r="L16">
        <v>23596.19716</v>
      </c>
      <c r="M16">
        <v>49.709960000000002</v>
      </c>
      <c r="N16">
        <v>23645.90712</v>
      </c>
      <c r="O16">
        <v>1151184.9948400001</v>
      </c>
      <c r="P16">
        <v>2085.9665599999998</v>
      </c>
      <c r="Q16">
        <v>1153270.9613999999</v>
      </c>
      <c r="R16" s="13">
        <v>744</v>
      </c>
      <c r="S16" s="13">
        <v>0</v>
      </c>
      <c r="T16" s="13">
        <v>744</v>
      </c>
      <c r="U16" s="13">
        <v>0</v>
      </c>
    </row>
    <row r="17" spans="1:21" ht="14.4" x14ac:dyDescent="0.3">
      <c r="A17" s="21">
        <v>3</v>
      </c>
      <c r="B17" s="14">
        <v>2155</v>
      </c>
      <c r="C17" s="12">
        <v>9.6999998092651403</v>
      </c>
      <c r="D17" s="12">
        <v>5</v>
      </c>
      <c r="E17" s="12">
        <v>4.3000001907348597</v>
      </c>
      <c r="F17" s="12">
        <v>-1.6</v>
      </c>
      <c r="G17" s="12">
        <v>-15</v>
      </c>
      <c r="H17" s="13">
        <v>22</v>
      </c>
      <c r="I17">
        <v>2143.4627600000003</v>
      </c>
      <c r="J17">
        <v>0</v>
      </c>
      <c r="K17">
        <v>2143.4627600000003</v>
      </c>
      <c r="L17">
        <v>23559.509560000002</v>
      </c>
      <c r="M17">
        <v>57.824840000000002</v>
      </c>
      <c r="N17">
        <v>23617.3344</v>
      </c>
      <c r="O17">
        <v>988882.61376000009</v>
      </c>
      <c r="P17">
        <v>2561.7867200000001</v>
      </c>
      <c r="Q17">
        <v>991444.40048000007</v>
      </c>
      <c r="R17" s="13">
        <v>744</v>
      </c>
      <c r="S17" s="13">
        <v>0</v>
      </c>
      <c r="T17" s="13">
        <v>744</v>
      </c>
      <c r="U17" s="13">
        <v>0</v>
      </c>
    </row>
    <row r="18" spans="1:21" ht="14.4" x14ac:dyDescent="0.3">
      <c r="A18" s="21">
        <v>4</v>
      </c>
      <c r="B18" s="14">
        <v>2156</v>
      </c>
      <c r="C18" s="12">
        <v>10</v>
      </c>
      <c r="D18" s="12">
        <v>7</v>
      </c>
      <c r="E18" s="12">
        <v>4.3000001907348597</v>
      </c>
      <c r="F18" s="12">
        <v>-2</v>
      </c>
      <c r="G18" s="12">
        <v>-15</v>
      </c>
      <c r="H18" s="13">
        <v>23</v>
      </c>
      <c r="I18">
        <v>2232.7043200000003</v>
      </c>
      <c r="J18">
        <v>0</v>
      </c>
      <c r="K18">
        <v>2232.7043200000003</v>
      </c>
      <c r="L18">
        <v>35256.341200000003</v>
      </c>
      <c r="M18">
        <v>82.769880000000015</v>
      </c>
      <c r="N18">
        <v>35339.111080000002</v>
      </c>
      <c r="O18">
        <v>1317740.5810799999</v>
      </c>
      <c r="P18">
        <v>189.51152000000002</v>
      </c>
      <c r="Q18">
        <v>1317930.0926000001</v>
      </c>
      <c r="R18" s="13">
        <v>744</v>
      </c>
      <c r="S18" s="13">
        <v>0</v>
      </c>
      <c r="T18" s="13">
        <v>744</v>
      </c>
      <c r="U18" s="13">
        <v>0</v>
      </c>
    </row>
    <row r="19" spans="1:21" ht="9" customHeight="1" x14ac:dyDescent="0.25">
      <c r="A19"/>
      <c r="B19" s="14"/>
      <c r="C19" s="12"/>
      <c r="D19" s="12"/>
      <c r="E19" s="12"/>
      <c r="F19" s="12"/>
      <c r="G19" s="12"/>
      <c r="H19" s="13"/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3"/>
      <c r="S19" s="13"/>
      <c r="T19" s="13"/>
      <c r="U19" s="13"/>
    </row>
    <row r="20" spans="1:21" ht="14.4" x14ac:dyDescent="0.3">
      <c r="A20" s="21">
        <v>5</v>
      </c>
      <c r="B20" s="14">
        <v>3003</v>
      </c>
      <c r="C20" s="12">
        <v>4.5999999046325701</v>
      </c>
      <c r="D20" s="12">
        <v>5</v>
      </c>
      <c r="E20" s="12">
        <v>4.4000000953674299</v>
      </c>
      <c r="F20" s="12">
        <v>-3</v>
      </c>
      <c r="G20" s="12">
        <v>-13</v>
      </c>
      <c r="H20" s="13">
        <v>22</v>
      </c>
      <c r="I20">
        <v>2143.4627600000003</v>
      </c>
      <c r="J20">
        <v>0</v>
      </c>
      <c r="K20">
        <v>2143.4627600000003</v>
      </c>
      <c r="L20">
        <v>14225.308800000001</v>
      </c>
      <c r="M20">
        <v>0</v>
      </c>
      <c r="N20">
        <v>14225.308800000001</v>
      </c>
      <c r="O20">
        <v>9687691.7489200011</v>
      </c>
      <c r="P20">
        <v>7131.2510000000002</v>
      </c>
      <c r="Q20">
        <v>9694822.9999199994</v>
      </c>
      <c r="R20" s="13">
        <v>744</v>
      </c>
      <c r="S20" s="13">
        <v>0</v>
      </c>
      <c r="T20" s="13">
        <v>744</v>
      </c>
      <c r="U20" s="13">
        <v>0</v>
      </c>
    </row>
    <row r="21" spans="1:21" ht="14.4" x14ac:dyDescent="0.3">
      <c r="A21" s="21">
        <v>6</v>
      </c>
      <c r="B21" s="14">
        <v>3004</v>
      </c>
      <c r="C21" s="12">
        <v>4.5999999046325701</v>
      </c>
      <c r="D21" s="12">
        <v>5</v>
      </c>
      <c r="E21" s="12">
        <v>4.4000000953674299</v>
      </c>
      <c r="F21" s="12">
        <v>-3</v>
      </c>
      <c r="G21" s="12">
        <v>-13</v>
      </c>
      <c r="H21" s="13">
        <v>46</v>
      </c>
      <c r="I21">
        <v>4500.7722000000003</v>
      </c>
      <c r="J21">
        <v>0</v>
      </c>
      <c r="K21">
        <v>4500.7722000000003</v>
      </c>
      <c r="L21">
        <v>23067.94628</v>
      </c>
      <c r="M21">
        <v>2516.62716</v>
      </c>
      <c r="N21">
        <v>25584.57344</v>
      </c>
      <c r="O21">
        <v>11338493.988440001</v>
      </c>
      <c r="P21">
        <v>6958.506440000001</v>
      </c>
      <c r="Q21">
        <v>11345452.49488</v>
      </c>
      <c r="R21" s="13">
        <v>744</v>
      </c>
      <c r="S21" s="13">
        <v>0</v>
      </c>
      <c r="T21" s="13">
        <v>744</v>
      </c>
      <c r="U21" s="13">
        <v>0</v>
      </c>
    </row>
    <row r="22" spans="1:21" ht="14.4" x14ac:dyDescent="0.3">
      <c r="A22" s="21">
        <v>7</v>
      </c>
      <c r="B22" s="14">
        <v>3005</v>
      </c>
      <c r="C22" s="12">
        <v>4.5999999046325701</v>
      </c>
      <c r="D22" s="12">
        <v>5</v>
      </c>
      <c r="E22" s="12">
        <v>4.4000000953674299</v>
      </c>
      <c r="F22" s="12">
        <v>-4</v>
      </c>
      <c r="G22" s="12">
        <v>-13</v>
      </c>
      <c r="H22" s="13">
        <v>41</v>
      </c>
      <c r="I22">
        <v>3970.8086000000003</v>
      </c>
      <c r="J22">
        <v>0</v>
      </c>
      <c r="K22">
        <v>3970.8086000000003</v>
      </c>
      <c r="L22">
        <v>33511.692560000003</v>
      </c>
      <c r="M22">
        <v>0.32863999999999999</v>
      </c>
      <c r="N22">
        <v>33512.021200000003</v>
      </c>
      <c r="O22">
        <v>13367065.342039999</v>
      </c>
      <c r="P22">
        <v>7328.7510000000002</v>
      </c>
      <c r="Q22">
        <v>13374394.093040001</v>
      </c>
      <c r="R22" s="13">
        <v>744</v>
      </c>
      <c r="S22" s="13">
        <v>0</v>
      </c>
      <c r="T22" s="13">
        <v>744</v>
      </c>
      <c r="U22" s="13">
        <v>0</v>
      </c>
    </row>
    <row r="23" spans="1:21" ht="14.4" x14ac:dyDescent="0.3">
      <c r="A23" s="21">
        <v>8</v>
      </c>
      <c r="B23" s="14">
        <v>3006</v>
      </c>
      <c r="C23" s="12">
        <v>4.5999999046325701</v>
      </c>
      <c r="D23" s="12">
        <v>5</v>
      </c>
      <c r="E23" s="12">
        <v>4.4000000953674299</v>
      </c>
      <c r="F23" s="12">
        <v>-10</v>
      </c>
      <c r="G23" s="12">
        <v>-13</v>
      </c>
      <c r="H23" s="13">
        <v>38</v>
      </c>
      <c r="I23">
        <v>3731.68824</v>
      </c>
      <c r="J23">
        <v>0</v>
      </c>
      <c r="K23">
        <v>3731.68824</v>
      </c>
      <c r="L23">
        <v>56209.643920000002</v>
      </c>
      <c r="M23">
        <v>31.716920000000005</v>
      </c>
      <c r="N23">
        <v>56241.360840000008</v>
      </c>
      <c r="O23">
        <v>13207123.99288</v>
      </c>
      <c r="P23">
        <v>7692.4480400000002</v>
      </c>
      <c r="Q23">
        <v>13214816.440920001</v>
      </c>
      <c r="R23" s="13">
        <v>744</v>
      </c>
      <c r="S23" s="13">
        <v>0</v>
      </c>
      <c r="T23" s="13">
        <v>744</v>
      </c>
      <c r="U23" s="13">
        <v>0</v>
      </c>
    </row>
    <row r="24" spans="1:21" ht="14.4" x14ac:dyDescent="0.3">
      <c r="A24" s="21">
        <v>9</v>
      </c>
      <c r="B24" s="14">
        <v>3007</v>
      </c>
      <c r="C24" s="12">
        <v>4.5999999046325701</v>
      </c>
      <c r="D24" s="12">
        <v>5</v>
      </c>
      <c r="E24" s="12">
        <v>4.4000000953674299</v>
      </c>
      <c r="F24" s="12">
        <v>-10</v>
      </c>
      <c r="G24" s="12">
        <v>-13</v>
      </c>
      <c r="H24" s="13">
        <v>32</v>
      </c>
      <c r="I24">
        <v>3175.8632000000002</v>
      </c>
      <c r="J24">
        <v>0</v>
      </c>
      <c r="K24">
        <v>3175.8632000000002</v>
      </c>
      <c r="L24">
        <v>25966.352000000003</v>
      </c>
      <c r="M24">
        <v>0.33179999999999998</v>
      </c>
      <c r="N24">
        <v>25966.683800000003</v>
      </c>
      <c r="O24">
        <v>9183447.7049199995</v>
      </c>
      <c r="P24">
        <v>11450.87304</v>
      </c>
      <c r="Q24">
        <v>9194898.5779599994</v>
      </c>
      <c r="R24" s="13">
        <v>744</v>
      </c>
      <c r="S24" s="13">
        <v>0</v>
      </c>
      <c r="T24" s="13">
        <v>744</v>
      </c>
      <c r="U24" s="13">
        <v>0</v>
      </c>
    </row>
    <row r="25" spans="1:21" ht="14.4" x14ac:dyDescent="0.3">
      <c r="A25" s="21">
        <v>10</v>
      </c>
      <c r="B25" s="14">
        <v>3008</v>
      </c>
      <c r="C25" s="12">
        <v>4.5999999046325701</v>
      </c>
      <c r="D25" s="12">
        <v>5</v>
      </c>
      <c r="E25" s="12">
        <v>4.4000000953674299</v>
      </c>
      <c r="F25" s="12">
        <v>-9</v>
      </c>
      <c r="G25" s="12">
        <v>-13</v>
      </c>
      <c r="H25" s="13">
        <v>41</v>
      </c>
      <c r="I25">
        <v>4025.5682400000001</v>
      </c>
      <c r="J25">
        <v>0</v>
      </c>
      <c r="K25">
        <v>4025.5682400000001</v>
      </c>
      <c r="L25">
        <v>29099.972320000004</v>
      </c>
      <c r="M25">
        <v>0.32863999999999999</v>
      </c>
      <c r="N25">
        <v>29100.30096</v>
      </c>
      <c r="O25">
        <v>12039621.232040001</v>
      </c>
      <c r="P25">
        <v>11756.037399999999</v>
      </c>
      <c r="Q25">
        <v>12051377.269440001</v>
      </c>
      <c r="R25" s="13">
        <v>744</v>
      </c>
      <c r="S25" s="13">
        <v>0</v>
      </c>
      <c r="T25" s="13">
        <v>744</v>
      </c>
      <c r="U25" s="13">
        <v>0</v>
      </c>
    </row>
    <row r="26" spans="1:21" ht="14.4" x14ac:dyDescent="0.3">
      <c r="A26" s="21">
        <v>11</v>
      </c>
      <c r="B26" s="14">
        <v>3009</v>
      </c>
      <c r="C26" s="12">
        <v>4.5999999046325701</v>
      </c>
      <c r="D26" s="12">
        <v>5</v>
      </c>
      <c r="E26" s="12">
        <v>4.4000000953674299</v>
      </c>
      <c r="F26" s="12">
        <v>-8</v>
      </c>
      <c r="G26" s="12">
        <v>-13</v>
      </c>
      <c r="H26" s="13">
        <v>31</v>
      </c>
      <c r="I26">
        <v>3071.0460000000003</v>
      </c>
      <c r="J26">
        <v>0</v>
      </c>
      <c r="K26">
        <v>3071.0460000000003</v>
      </c>
      <c r="L26">
        <v>23751.789240000002</v>
      </c>
      <c r="M26">
        <v>0.33179999999999998</v>
      </c>
      <c r="N26">
        <v>23752.121040000002</v>
      </c>
      <c r="O26">
        <v>12915601.378160002</v>
      </c>
      <c r="P26">
        <v>10255.565119999999</v>
      </c>
      <c r="Q26">
        <v>12925856.943280002</v>
      </c>
      <c r="R26" s="13">
        <v>744</v>
      </c>
      <c r="S26" s="13">
        <v>0</v>
      </c>
      <c r="T26" s="13">
        <v>744</v>
      </c>
      <c r="U26" s="13">
        <v>0</v>
      </c>
    </row>
    <row r="27" spans="1:21" ht="9" customHeight="1" x14ac:dyDescent="0.25">
      <c r="A27"/>
      <c r="B27" s="14"/>
      <c r="C27" s="12"/>
      <c r="D27" s="12"/>
      <c r="E27" s="12"/>
      <c r="F27" s="12"/>
      <c r="G27" s="12"/>
      <c r="H27" s="13"/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3"/>
      <c r="S27" s="13"/>
      <c r="T27" s="13"/>
      <c r="U27" s="13"/>
    </row>
    <row r="28" spans="1:21" ht="14.4" x14ac:dyDescent="0.3">
      <c r="A28" s="21">
        <v>12</v>
      </c>
      <c r="B28" s="14">
        <v>3013</v>
      </c>
      <c r="C28" s="12">
        <v>4.5999999046325701</v>
      </c>
      <c r="D28" s="12">
        <v>5</v>
      </c>
      <c r="E28" s="12">
        <v>4.3000001907348597</v>
      </c>
      <c r="F28" s="12">
        <v>9</v>
      </c>
      <c r="G28" s="12">
        <v>-1</v>
      </c>
      <c r="H28" s="13">
        <v>98</v>
      </c>
      <c r="I28">
        <v>9628.2924800000001</v>
      </c>
      <c r="J28">
        <v>0</v>
      </c>
      <c r="K28">
        <v>9628.2924800000001</v>
      </c>
      <c r="L28">
        <v>85728.442640000008</v>
      </c>
      <c r="M28">
        <v>85.787680000000009</v>
      </c>
      <c r="N28">
        <v>85814.230320000002</v>
      </c>
      <c r="O28">
        <v>23315676.015760001</v>
      </c>
      <c r="P28">
        <v>11800.76404</v>
      </c>
      <c r="Q28">
        <v>23327476.779800002</v>
      </c>
      <c r="R28" s="13">
        <v>744</v>
      </c>
      <c r="S28" s="13">
        <v>0</v>
      </c>
      <c r="T28" s="13">
        <v>744</v>
      </c>
      <c r="U28" s="13">
        <v>0</v>
      </c>
    </row>
    <row r="29" spans="1:21" ht="14.4" x14ac:dyDescent="0.3">
      <c r="A29" s="21">
        <v>13</v>
      </c>
      <c r="B29" s="14">
        <v>3014</v>
      </c>
      <c r="C29" s="12">
        <v>4.5999999046325701</v>
      </c>
      <c r="D29" s="12">
        <v>5</v>
      </c>
      <c r="E29" s="12">
        <v>4.3000001907348597</v>
      </c>
      <c r="F29" s="12">
        <v>-8</v>
      </c>
      <c r="G29" s="12">
        <v>-1</v>
      </c>
      <c r="H29" s="13">
        <v>29</v>
      </c>
      <c r="I29">
        <v>2827.2235600000004</v>
      </c>
      <c r="J29">
        <v>0</v>
      </c>
      <c r="K29">
        <v>2827.2235600000004</v>
      </c>
      <c r="L29">
        <v>18516.51612</v>
      </c>
      <c r="M29">
        <v>0</v>
      </c>
      <c r="N29">
        <v>18516.51612</v>
      </c>
      <c r="O29">
        <v>20370883.736200001</v>
      </c>
      <c r="P29">
        <v>12338.852000000001</v>
      </c>
      <c r="Q29">
        <v>20383222.588199999</v>
      </c>
      <c r="R29" s="13">
        <v>744</v>
      </c>
      <c r="S29" s="13">
        <v>0</v>
      </c>
      <c r="T29" s="13">
        <v>744</v>
      </c>
      <c r="U29" s="13">
        <v>0</v>
      </c>
    </row>
    <row r="30" spans="1:21" ht="14.4" x14ac:dyDescent="0.3">
      <c r="A30" s="21">
        <v>14</v>
      </c>
      <c r="B30" s="14">
        <v>3015</v>
      </c>
      <c r="C30" s="12">
        <v>4.5999999046325701</v>
      </c>
      <c r="D30" s="12">
        <v>5</v>
      </c>
      <c r="E30" s="12">
        <v>4.3000001907348597</v>
      </c>
      <c r="F30" s="12">
        <v>-4</v>
      </c>
      <c r="G30" s="12">
        <v>-1</v>
      </c>
      <c r="H30" s="13">
        <v>34</v>
      </c>
      <c r="I30">
        <v>3359.0484000000001</v>
      </c>
      <c r="J30">
        <v>0</v>
      </c>
      <c r="K30">
        <v>3359.0484000000001</v>
      </c>
      <c r="L30">
        <v>28158.036360000002</v>
      </c>
      <c r="M30">
        <v>0.33179999999999998</v>
      </c>
      <c r="N30">
        <v>28158.368160000002</v>
      </c>
      <c r="O30">
        <v>20515308.192920003</v>
      </c>
      <c r="P30">
        <v>11497.08172</v>
      </c>
      <c r="Q30">
        <v>20526805.274640001</v>
      </c>
      <c r="R30" s="13">
        <v>744</v>
      </c>
      <c r="S30" s="13">
        <v>0</v>
      </c>
      <c r="T30" s="13">
        <v>744</v>
      </c>
      <c r="U30" s="13">
        <v>0</v>
      </c>
    </row>
    <row r="31" spans="1:21" ht="14.4" x14ac:dyDescent="0.3">
      <c r="A31" s="21">
        <v>15</v>
      </c>
      <c r="B31" s="14">
        <v>3017</v>
      </c>
      <c r="C31" s="12">
        <v>4.5999999046325701</v>
      </c>
      <c r="D31" s="12">
        <v>5</v>
      </c>
      <c r="E31" s="12">
        <v>4.3000001907348597</v>
      </c>
      <c r="F31" s="12">
        <v>-6</v>
      </c>
      <c r="G31" s="12">
        <v>-1</v>
      </c>
      <c r="H31" s="13">
        <v>51</v>
      </c>
      <c r="I31">
        <v>4950.1147200000005</v>
      </c>
      <c r="J31">
        <v>0</v>
      </c>
      <c r="K31">
        <v>4950.1147200000005</v>
      </c>
      <c r="L31">
        <v>36275.0936</v>
      </c>
      <c r="M31">
        <v>0.32547999999999999</v>
      </c>
      <c r="N31">
        <v>36275.41908</v>
      </c>
      <c r="O31">
        <v>19721401.437520001</v>
      </c>
      <c r="P31">
        <v>11307.29212</v>
      </c>
      <c r="Q31">
        <v>19732708.72964</v>
      </c>
      <c r="R31" s="13">
        <v>744</v>
      </c>
      <c r="S31" s="13">
        <v>0</v>
      </c>
      <c r="T31" s="13">
        <v>744</v>
      </c>
      <c r="U31" s="13">
        <v>0</v>
      </c>
    </row>
    <row r="32" spans="1:21" ht="14.4" x14ac:dyDescent="0.3">
      <c r="A32" s="21">
        <v>16</v>
      </c>
      <c r="B32" s="14">
        <v>3018</v>
      </c>
      <c r="C32" s="12">
        <v>4.5999999046325701</v>
      </c>
      <c r="D32" s="12">
        <v>5</v>
      </c>
      <c r="E32" s="12">
        <v>4.3000001907348597</v>
      </c>
      <c r="F32" s="12">
        <v>1</v>
      </c>
      <c r="G32" s="12">
        <v>-1</v>
      </c>
      <c r="H32" s="13">
        <v>27</v>
      </c>
      <c r="I32">
        <v>2607.6952000000001</v>
      </c>
      <c r="J32">
        <v>0</v>
      </c>
      <c r="K32">
        <v>2607.6952000000001</v>
      </c>
      <c r="L32">
        <v>22308.819479999998</v>
      </c>
      <c r="M32">
        <v>0.33812000000000003</v>
      </c>
      <c r="N32">
        <v>22309.157599999999</v>
      </c>
      <c r="O32">
        <v>14051660.17664</v>
      </c>
      <c r="P32">
        <v>12941.852680000002</v>
      </c>
      <c r="Q32">
        <v>14064602.029320002</v>
      </c>
      <c r="R32" s="13">
        <v>744</v>
      </c>
      <c r="S32" s="13">
        <v>0</v>
      </c>
      <c r="T32" s="13">
        <v>744</v>
      </c>
      <c r="U32" s="13">
        <v>0</v>
      </c>
    </row>
    <row r="33" spans="1:21" ht="14.4" x14ac:dyDescent="0.3">
      <c r="A33" s="21">
        <v>17</v>
      </c>
      <c r="B33" s="14">
        <v>3019</v>
      </c>
      <c r="C33" s="12">
        <v>4.5999999046325701</v>
      </c>
      <c r="D33" s="12">
        <v>5</v>
      </c>
      <c r="E33" s="12">
        <v>4.3000001907348597</v>
      </c>
      <c r="F33" s="12">
        <v>-10</v>
      </c>
      <c r="G33" s="12">
        <v>-1</v>
      </c>
      <c r="H33" s="13">
        <v>36</v>
      </c>
      <c r="I33">
        <v>3558.7888400000002</v>
      </c>
      <c r="J33">
        <v>0</v>
      </c>
      <c r="K33">
        <v>3558.7888400000002</v>
      </c>
      <c r="L33">
        <v>28051.550680000004</v>
      </c>
      <c r="M33">
        <v>0</v>
      </c>
      <c r="N33">
        <v>28051.550680000004</v>
      </c>
      <c r="O33">
        <v>20453290.750240002</v>
      </c>
      <c r="P33">
        <v>13297.444319999999</v>
      </c>
      <c r="Q33">
        <v>20466588.194560003</v>
      </c>
      <c r="R33" s="13">
        <v>744</v>
      </c>
      <c r="S33" s="13">
        <v>0</v>
      </c>
      <c r="T33" s="13">
        <v>744</v>
      </c>
      <c r="U33" s="13">
        <v>0</v>
      </c>
    </row>
    <row r="34" spans="1:21" ht="14.4" x14ac:dyDescent="0.3">
      <c r="A34" s="21">
        <v>18</v>
      </c>
      <c r="B34" s="14">
        <v>3020</v>
      </c>
      <c r="C34" s="12">
        <v>4.5999999046325701</v>
      </c>
      <c r="D34" s="12"/>
      <c r="E34" s="12">
        <v>4.3000001907348597</v>
      </c>
      <c r="F34" s="12">
        <v>-2</v>
      </c>
      <c r="G34" s="12">
        <v>-1</v>
      </c>
      <c r="H34" s="13">
        <v>50</v>
      </c>
      <c r="I34">
        <v>4857.4445599999999</v>
      </c>
      <c r="J34">
        <v>0</v>
      </c>
      <c r="K34">
        <v>4857.4445599999999</v>
      </c>
      <c r="L34">
        <v>13225.465840000003</v>
      </c>
      <c r="M34">
        <v>2387.3420800000004</v>
      </c>
      <c r="N34">
        <v>15612.807919999999</v>
      </c>
      <c r="O34">
        <v>16622942.282680001</v>
      </c>
      <c r="P34">
        <v>23040.135119999999</v>
      </c>
      <c r="Q34">
        <v>16645982.417800002</v>
      </c>
      <c r="R34" s="13">
        <v>744</v>
      </c>
      <c r="S34" s="13">
        <v>0</v>
      </c>
      <c r="T34" s="13">
        <v>744</v>
      </c>
      <c r="U34" s="13">
        <v>0</v>
      </c>
    </row>
    <row r="35" spans="1:21" ht="14.4" x14ac:dyDescent="0.3">
      <c r="A35" s="21">
        <v>19</v>
      </c>
      <c r="B35" s="14">
        <v>3021</v>
      </c>
      <c r="C35" s="12">
        <v>4.5999999046325701</v>
      </c>
      <c r="D35" s="12"/>
      <c r="E35" s="12">
        <v>4.3000001907348597</v>
      </c>
      <c r="F35" s="12">
        <v>5</v>
      </c>
      <c r="G35" s="12">
        <v>-1</v>
      </c>
      <c r="H35" s="13">
        <v>79</v>
      </c>
      <c r="I35">
        <v>7777.6321600000001</v>
      </c>
      <c r="J35">
        <v>0</v>
      </c>
      <c r="K35">
        <v>7777.6321600000001</v>
      </c>
      <c r="L35">
        <v>37156.047880000006</v>
      </c>
      <c r="M35">
        <v>0.35708000000000001</v>
      </c>
      <c r="N35">
        <v>37156.40496</v>
      </c>
      <c r="O35">
        <v>23075688.965720002</v>
      </c>
      <c r="P35">
        <v>15355.93468</v>
      </c>
      <c r="Q35">
        <v>23091044.900400002</v>
      </c>
      <c r="R35" s="13">
        <v>744</v>
      </c>
      <c r="S35" s="13">
        <v>0</v>
      </c>
      <c r="T35" s="13">
        <v>744</v>
      </c>
      <c r="U35" s="13">
        <v>0</v>
      </c>
    </row>
    <row r="36" spans="1:21" ht="9" customHeight="1" x14ac:dyDescent="0.25">
      <c r="A36"/>
      <c r="B36" s="14"/>
      <c r="C36" s="12"/>
      <c r="D36" s="12"/>
      <c r="E36" s="12"/>
      <c r="F36" s="12"/>
      <c r="G36" s="12"/>
      <c r="H36" s="13"/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3"/>
      <c r="S36" s="13"/>
      <c r="T36" s="13"/>
      <c r="U36" s="13"/>
    </row>
    <row r="37" spans="1:21" ht="14.4" x14ac:dyDescent="0.3">
      <c r="A37" s="21">
        <v>20</v>
      </c>
      <c r="B37" s="14">
        <v>3033</v>
      </c>
      <c r="C37" s="12">
        <v>4.5</v>
      </c>
      <c r="D37" s="12"/>
      <c r="E37" s="12">
        <v>4.3000001907348597</v>
      </c>
      <c r="F37" s="12">
        <v>8</v>
      </c>
      <c r="G37" s="12">
        <v>-1.4</v>
      </c>
      <c r="H37" s="13">
        <v>71</v>
      </c>
      <c r="I37">
        <v>6943.9925599999997</v>
      </c>
      <c r="J37">
        <v>0</v>
      </c>
      <c r="K37">
        <v>6943.9925599999997</v>
      </c>
      <c r="L37">
        <v>58171.507800000007</v>
      </c>
      <c r="M37">
        <v>0.34128000000000003</v>
      </c>
      <c r="N37">
        <v>58171.84908</v>
      </c>
      <c r="O37">
        <v>21220783.615480002</v>
      </c>
      <c r="P37">
        <v>10476.913640000001</v>
      </c>
      <c r="Q37">
        <v>21231260.529120002</v>
      </c>
      <c r="R37" s="13">
        <v>744</v>
      </c>
      <c r="S37" s="13">
        <v>0</v>
      </c>
      <c r="T37" s="13">
        <v>744</v>
      </c>
      <c r="U37" s="13">
        <v>0</v>
      </c>
    </row>
    <row r="38" spans="1:21" ht="14.4" x14ac:dyDescent="0.3">
      <c r="A38" s="21">
        <v>21</v>
      </c>
      <c r="B38" s="14">
        <v>3034</v>
      </c>
      <c r="C38" s="12">
        <v>4.5</v>
      </c>
      <c r="D38" s="12"/>
      <c r="E38" s="12">
        <v>4.3000001907348597</v>
      </c>
      <c r="F38" s="12">
        <v>-13</v>
      </c>
      <c r="G38" s="12">
        <v>-1.4</v>
      </c>
      <c r="H38" s="13">
        <v>57</v>
      </c>
      <c r="I38">
        <v>5606.2508000000007</v>
      </c>
      <c r="J38">
        <v>0</v>
      </c>
      <c r="K38">
        <v>5606.2508000000007</v>
      </c>
      <c r="L38">
        <v>52981.849280000002</v>
      </c>
      <c r="M38">
        <v>21.519600000000001</v>
      </c>
      <c r="N38">
        <v>53003.368880000002</v>
      </c>
      <c r="O38">
        <v>21367291.24216</v>
      </c>
      <c r="P38">
        <v>11199.60248</v>
      </c>
      <c r="Q38">
        <v>21378490.844640002</v>
      </c>
      <c r="R38" s="13">
        <v>744</v>
      </c>
      <c r="S38" s="13">
        <v>0</v>
      </c>
      <c r="T38" s="13">
        <v>744</v>
      </c>
      <c r="U38" s="13">
        <v>0</v>
      </c>
    </row>
    <row r="39" spans="1:21" ht="14.4" x14ac:dyDescent="0.3">
      <c r="A39" s="21">
        <v>22</v>
      </c>
      <c r="B39" s="14">
        <v>3035</v>
      </c>
      <c r="C39" s="12">
        <v>4.5</v>
      </c>
      <c r="D39" s="12">
        <v>5</v>
      </c>
      <c r="E39" s="12">
        <v>4.3000001907348597</v>
      </c>
      <c r="F39" s="12">
        <v>-13</v>
      </c>
      <c r="G39" s="12">
        <v>-1.4</v>
      </c>
      <c r="H39" s="13">
        <v>78</v>
      </c>
      <c r="I39">
        <v>7636.8636399999996</v>
      </c>
      <c r="J39">
        <v>0</v>
      </c>
      <c r="K39">
        <v>7636.8636399999996</v>
      </c>
      <c r="L39">
        <v>67413.224839999995</v>
      </c>
      <c r="M39">
        <v>0.33179999999999998</v>
      </c>
      <c r="N39">
        <v>67413.556639999995</v>
      </c>
      <c r="O39">
        <v>19923096.672480002</v>
      </c>
      <c r="P39">
        <v>11928.064640000001</v>
      </c>
      <c r="Q39">
        <v>19935024.737120003</v>
      </c>
      <c r="R39" s="13">
        <v>744</v>
      </c>
      <c r="S39" s="13">
        <v>0</v>
      </c>
      <c r="T39" s="13">
        <v>744</v>
      </c>
      <c r="U39" s="13">
        <v>0</v>
      </c>
    </row>
    <row r="40" spans="1:21" ht="14.4" x14ac:dyDescent="0.3">
      <c r="A40" s="21">
        <v>23</v>
      </c>
      <c r="B40" s="14">
        <v>3036</v>
      </c>
      <c r="C40" s="12">
        <v>4.5</v>
      </c>
      <c r="D40" s="12">
        <v>5</v>
      </c>
      <c r="E40" s="12">
        <v>4.3000001907348597</v>
      </c>
      <c r="F40" s="12">
        <v>1</v>
      </c>
      <c r="G40" s="12">
        <v>-1.4</v>
      </c>
      <c r="H40" s="13">
        <v>44</v>
      </c>
      <c r="I40">
        <v>4327.9707600000002</v>
      </c>
      <c r="J40">
        <v>0</v>
      </c>
      <c r="K40">
        <v>4327.9707600000002</v>
      </c>
      <c r="L40">
        <v>23485.900520000003</v>
      </c>
      <c r="M40">
        <v>0.34128000000000003</v>
      </c>
      <c r="N40">
        <v>23486.2418</v>
      </c>
      <c r="O40">
        <v>22501622.130520001</v>
      </c>
      <c r="P40">
        <v>11645.333120000001</v>
      </c>
      <c r="Q40">
        <v>22513267.463640001</v>
      </c>
      <c r="R40" s="13">
        <v>744</v>
      </c>
      <c r="S40" s="13">
        <v>0</v>
      </c>
      <c r="T40" s="13">
        <v>744</v>
      </c>
      <c r="U40" s="13">
        <v>0</v>
      </c>
    </row>
    <row r="41" spans="1:21" ht="14.4" x14ac:dyDescent="0.3">
      <c r="A41" s="21">
        <v>24</v>
      </c>
      <c r="B41" s="14">
        <v>3038</v>
      </c>
      <c r="C41" s="12">
        <v>4.5</v>
      </c>
      <c r="D41" s="12">
        <v>5</v>
      </c>
      <c r="E41" s="12">
        <v>4.3000001907348597</v>
      </c>
      <c r="F41" s="12">
        <v>3</v>
      </c>
      <c r="G41" s="12">
        <v>-1.4</v>
      </c>
      <c r="H41" s="13">
        <v>39</v>
      </c>
      <c r="I41">
        <v>3795.1663199999998</v>
      </c>
      <c r="J41">
        <v>0</v>
      </c>
      <c r="K41">
        <v>3795.1663199999998</v>
      </c>
      <c r="L41">
        <v>33856.091480000003</v>
      </c>
      <c r="M41">
        <v>0.33495999999999998</v>
      </c>
      <c r="N41">
        <v>33856.426439999996</v>
      </c>
      <c r="O41">
        <v>22281517.841560002</v>
      </c>
      <c r="P41">
        <v>4588.5032799999999</v>
      </c>
      <c r="Q41">
        <v>22286106.344840001</v>
      </c>
      <c r="R41" s="13">
        <v>744</v>
      </c>
      <c r="S41" s="13">
        <v>0</v>
      </c>
      <c r="T41" s="13">
        <v>744</v>
      </c>
      <c r="U41" s="13">
        <v>0</v>
      </c>
    </row>
    <row r="42" spans="1:21" ht="14.4" x14ac:dyDescent="0.3">
      <c r="A42" s="21">
        <v>25</v>
      </c>
      <c r="B42" s="14">
        <v>3039</v>
      </c>
      <c r="C42" s="12">
        <v>4.5</v>
      </c>
      <c r="D42" s="12"/>
      <c r="E42" s="12">
        <v>4.3000001907348597</v>
      </c>
      <c r="F42" s="12">
        <v>8</v>
      </c>
      <c r="G42" s="12">
        <v>-1.4</v>
      </c>
      <c r="H42" s="13">
        <v>75</v>
      </c>
      <c r="I42">
        <v>7376.3880000000008</v>
      </c>
      <c r="J42">
        <v>0</v>
      </c>
      <c r="K42">
        <v>7376.3880000000008</v>
      </c>
      <c r="L42">
        <v>67743.479600000006</v>
      </c>
      <c r="M42">
        <v>0.35708000000000001</v>
      </c>
      <c r="N42">
        <v>67743.836679999993</v>
      </c>
      <c r="O42">
        <v>23856670.382600002</v>
      </c>
      <c r="P42">
        <v>11471.3688</v>
      </c>
      <c r="Q42">
        <v>23868141.751400001</v>
      </c>
      <c r="R42" s="13">
        <v>744</v>
      </c>
      <c r="S42" s="13">
        <v>0</v>
      </c>
      <c r="T42" s="13">
        <v>744</v>
      </c>
      <c r="U42" s="13">
        <v>0</v>
      </c>
    </row>
    <row r="43" spans="1:21" ht="14.4" x14ac:dyDescent="0.3">
      <c r="A43" s="21">
        <v>26</v>
      </c>
      <c r="B43" s="14">
        <v>3040</v>
      </c>
      <c r="C43" s="12">
        <v>4.5</v>
      </c>
      <c r="D43" s="12"/>
      <c r="E43" s="12">
        <v>4.3000001907348597</v>
      </c>
      <c r="F43" s="12">
        <v>10</v>
      </c>
      <c r="G43" s="12">
        <v>-1.4</v>
      </c>
      <c r="H43" s="13">
        <v>83</v>
      </c>
      <c r="I43">
        <v>8170.6476800000009</v>
      </c>
      <c r="J43">
        <v>0</v>
      </c>
      <c r="K43">
        <v>8170.6476800000009</v>
      </c>
      <c r="L43">
        <v>72666.421480000005</v>
      </c>
      <c r="M43">
        <v>0.36340000000000006</v>
      </c>
      <c r="N43">
        <v>72666.784880000007</v>
      </c>
      <c r="O43">
        <v>21675787.354479998</v>
      </c>
      <c r="P43">
        <v>12607.082280000001</v>
      </c>
      <c r="Q43">
        <v>21688394.436760001</v>
      </c>
      <c r="R43" s="13">
        <v>744</v>
      </c>
      <c r="S43" s="13">
        <v>0</v>
      </c>
      <c r="T43" s="13">
        <v>744</v>
      </c>
      <c r="U43" s="13">
        <v>0</v>
      </c>
    </row>
    <row r="44" spans="1:21" ht="14.4" x14ac:dyDescent="0.3">
      <c r="A44" s="21">
        <v>27</v>
      </c>
      <c r="B44" s="14">
        <v>3041</v>
      </c>
      <c r="C44" s="12">
        <v>4.5</v>
      </c>
      <c r="D44" s="12">
        <v>5</v>
      </c>
      <c r="E44" s="12">
        <v>4.3000001907348597</v>
      </c>
      <c r="F44" s="12">
        <v>5</v>
      </c>
      <c r="G44" s="12">
        <v>-1.4</v>
      </c>
      <c r="H44" s="13">
        <v>30</v>
      </c>
      <c r="I44">
        <v>2946.4408800000001</v>
      </c>
      <c r="J44">
        <v>0</v>
      </c>
      <c r="K44">
        <v>2946.4408800000001</v>
      </c>
      <c r="L44">
        <v>27343.922399999999</v>
      </c>
      <c r="M44">
        <v>0.34128000000000003</v>
      </c>
      <c r="N44">
        <v>27344.26368</v>
      </c>
      <c r="O44">
        <v>20219675.878120001</v>
      </c>
      <c r="P44">
        <v>12915.909080000001</v>
      </c>
      <c r="Q44">
        <v>20232591.7872</v>
      </c>
      <c r="R44" s="13">
        <v>744</v>
      </c>
      <c r="S44" s="13">
        <v>0</v>
      </c>
      <c r="T44" s="13">
        <v>744</v>
      </c>
      <c r="U44" s="13">
        <v>0</v>
      </c>
    </row>
    <row r="45" spans="1:21" ht="9" customHeight="1" x14ac:dyDescent="0.25">
      <c r="A45"/>
      <c r="B45" s="14"/>
      <c r="C45" s="12"/>
      <c r="D45" s="12"/>
      <c r="E45" s="12"/>
      <c r="F45" s="12"/>
      <c r="G45" s="12"/>
      <c r="H45" s="13"/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3"/>
      <c r="S45" s="13"/>
      <c r="T45" s="13"/>
      <c r="U45" s="13"/>
    </row>
    <row r="46" spans="1:21" ht="14.4" x14ac:dyDescent="0.3">
      <c r="A46" s="21">
        <v>28</v>
      </c>
      <c r="B46" s="14">
        <v>3053</v>
      </c>
      <c r="C46" s="12">
        <v>4.5</v>
      </c>
      <c r="D46" s="12">
        <v>5</v>
      </c>
      <c r="E46" s="12">
        <v>4.3000001907348597</v>
      </c>
      <c r="F46" s="12">
        <v>2</v>
      </c>
      <c r="G46" s="12">
        <v>-13</v>
      </c>
      <c r="H46" s="13">
        <v>33</v>
      </c>
      <c r="I46">
        <v>3245.8066400000002</v>
      </c>
      <c r="J46">
        <v>0</v>
      </c>
      <c r="K46">
        <v>3245.8066400000002</v>
      </c>
      <c r="L46">
        <v>27851.898720000001</v>
      </c>
      <c r="M46">
        <v>0.32547999999999999</v>
      </c>
      <c r="N46">
        <v>27852.224200000004</v>
      </c>
      <c r="O46">
        <v>19698804.407080002</v>
      </c>
      <c r="P46">
        <v>11138.775640000002</v>
      </c>
      <c r="Q46">
        <v>19709943.182720002</v>
      </c>
      <c r="R46" s="13">
        <v>744</v>
      </c>
      <c r="S46" s="13">
        <v>0</v>
      </c>
      <c r="T46" s="13">
        <v>744</v>
      </c>
      <c r="U46" s="13">
        <v>0</v>
      </c>
    </row>
    <row r="47" spans="1:21" ht="9" customHeight="1" x14ac:dyDescent="0.25">
      <c r="A47"/>
      <c r="B47" s="14"/>
      <c r="C47" s="12"/>
      <c r="D47" s="12"/>
      <c r="E47" s="12"/>
      <c r="F47" s="12"/>
      <c r="G47" s="12"/>
      <c r="H47" s="13"/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3"/>
      <c r="S47" s="13"/>
      <c r="T47" s="13"/>
      <c r="U47" s="13"/>
    </row>
    <row r="48" spans="1:21" ht="14.4" x14ac:dyDescent="0.3">
      <c r="A48" s="21">
        <v>29</v>
      </c>
      <c r="B48" s="14">
        <v>3062</v>
      </c>
      <c r="C48" s="12">
        <v>4.5999999046325701</v>
      </c>
      <c r="D48" s="12">
        <v>4.5</v>
      </c>
      <c r="E48" s="12">
        <v>4.4000000953674299</v>
      </c>
      <c r="F48" s="12">
        <v>-6</v>
      </c>
      <c r="G48" s="12">
        <v>0.8</v>
      </c>
      <c r="H48" s="13">
        <v>27</v>
      </c>
      <c r="I48">
        <v>2628.8545600000002</v>
      </c>
      <c r="J48">
        <v>0</v>
      </c>
      <c r="K48">
        <v>2628.8545600000002</v>
      </c>
      <c r="L48">
        <v>25460.224280000002</v>
      </c>
      <c r="M48">
        <v>0.32547999999999999</v>
      </c>
      <c r="N48">
        <v>25460.549760000002</v>
      </c>
      <c r="O48">
        <v>20633584.98316</v>
      </c>
      <c r="P48">
        <v>14532.761000000002</v>
      </c>
      <c r="Q48">
        <v>20648117.74416</v>
      </c>
      <c r="R48" s="13">
        <v>744</v>
      </c>
      <c r="S48" s="13">
        <v>0</v>
      </c>
      <c r="T48" s="13">
        <v>744</v>
      </c>
      <c r="U48" s="13">
        <v>0</v>
      </c>
    </row>
    <row r="49" spans="1:21" ht="14.4" x14ac:dyDescent="0.3">
      <c r="A49" s="21">
        <v>30</v>
      </c>
      <c r="B49" s="14">
        <v>3063</v>
      </c>
      <c r="C49" s="12">
        <v>4.5999999046325701</v>
      </c>
      <c r="D49" s="12"/>
      <c r="E49" s="12">
        <v>4.4000000953674299</v>
      </c>
      <c r="F49" s="12">
        <v>-10</v>
      </c>
      <c r="G49" s="12">
        <v>0.8</v>
      </c>
      <c r="H49" s="13">
        <v>22</v>
      </c>
      <c r="I49">
        <v>2182.8426800000002</v>
      </c>
      <c r="J49">
        <v>0</v>
      </c>
      <c r="K49">
        <v>2182.8426800000002</v>
      </c>
      <c r="L49">
        <v>10380.056480000001</v>
      </c>
      <c r="M49">
        <v>45.421840000000003</v>
      </c>
      <c r="N49">
        <v>10425.478320000002</v>
      </c>
      <c r="O49">
        <v>17252369.748799998</v>
      </c>
      <c r="P49">
        <v>15105.545760000001</v>
      </c>
      <c r="Q49">
        <v>17267475.29456</v>
      </c>
      <c r="R49" s="13">
        <v>744</v>
      </c>
      <c r="S49" s="13">
        <v>0</v>
      </c>
      <c r="T49" s="13">
        <v>744</v>
      </c>
      <c r="U49" s="13">
        <v>0</v>
      </c>
    </row>
    <row r="50" spans="1:21" ht="14.4" x14ac:dyDescent="0.3">
      <c r="A50" s="21">
        <v>31</v>
      </c>
      <c r="B50" s="14">
        <v>3064</v>
      </c>
      <c r="C50" s="12">
        <v>4.5999999046325701</v>
      </c>
      <c r="D50" s="12">
        <v>5</v>
      </c>
      <c r="E50" s="12">
        <v>4.4000000953674299</v>
      </c>
      <c r="F50" s="12">
        <v>-11</v>
      </c>
      <c r="G50" s="12">
        <v>0.8</v>
      </c>
      <c r="H50" s="13">
        <v>40</v>
      </c>
      <c r="I50">
        <v>3920.0653200000002</v>
      </c>
      <c r="J50">
        <v>0</v>
      </c>
      <c r="K50">
        <v>3920.0653200000002</v>
      </c>
      <c r="L50">
        <v>41309.507640000003</v>
      </c>
      <c r="M50">
        <v>0.32547999999999999</v>
      </c>
      <c r="N50">
        <v>41309.833120000003</v>
      </c>
      <c r="O50">
        <v>19087215.163080003</v>
      </c>
      <c r="P50">
        <v>15801.472560000002</v>
      </c>
      <c r="Q50">
        <v>19103016.635639999</v>
      </c>
      <c r="R50" s="13">
        <v>744</v>
      </c>
      <c r="S50" s="13">
        <v>0</v>
      </c>
      <c r="T50" s="13">
        <v>744</v>
      </c>
      <c r="U50" s="13">
        <v>0</v>
      </c>
    </row>
    <row r="51" spans="1:21" ht="14.4" x14ac:dyDescent="0.3">
      <c r="A51" s="21">
        <v>32</v>
      </c>
      <c r="B51" s="14">
        <v>3065</v>
      </c>
      <c r="C51" s="12">
        <v>4.5999999046325701</v>
      </c>
      <c r="D51" s="12"/>
      <c r="E51" s="12">
        <v>4.4000000953674299</v>
      </c>
      <c r="F51" s="12">
        <v>6</v>
      </c>
      <c r="G51" s="12">
        <v>0.8</v>
      </c>
      <c r="H51" s="13">
        <v>87</v>
      </c>
      <c r="I51">
        <v>8503.7116800000003</v>
      </c>
      <c r="J51">
        <v>0</v>
      </c>
      <c r="K51">
        <v>8503.7116800000003</v>
      </c>
      <c r="L51">
        <v>79006.730800000005</v>
      </c>
      <c r="M51">
        <v>0.33495999999999998</v>
      </c>
      <c r="N51">
        <v>79007.065760000012</v>
      </c>
      <c r="O51">
        <v>22788761.61984</v>
      </c>
      <c r="P51">
        <v>9127.2555200000006</v>
      </c>
      <c r="Q51">
        <v>22797888.875360001</v>
      </c>
      <c r="R51" s="13">
        <v>744</v>
      </c>
      <c r="S51" s="13">
        <v>0</v>
      </c>
      <c r="T51" s="13">
        <v>744</v>
      </c>
      <c r="U51" s="13">
        <v>0</v>
      </c>
    </row>
    <row r="52" spans="1:21" ht="14.4" x14ac:dyDescent="0.3">
      <c r="A52" s="21">
        <v>33</v>
      </c>
      <c r="B52" s="14">
        <v>3066</v>
      </c>
      <c r="C52" s="12">
        <v>4.5999999046325701</v>
      </c>
      <c r="D52" s="12"/>
      <c r="E52" s="12">
        <v>4.4000000953674299</v>
      </c>
      <c r="F52" s="12">
        <v>-8</v>
      </c>
      <c r="G52" s="12">
        <v>0.8</v>
      </c>
      <c r="H52" s="13">
        <v>36</v>
      </c>
      <c r="I52">
        <v>3519.0170800000005</v>
      </c>
      <c r="J52">
        <v>0</v>
      </c>
      <c r="K52">
        <v>3519.0170800000005</v>
      </c>
      <c r="L52">
        <v>29567.990440000005</v>
      </c>
      <c r="M52">
        <v>0</v>
      </c>
      <c r="N52">
        <v>29567.990440000005</v>
      </c>
      <c r="O52">
        <v>23875221.548119999</v>
      </c>
      <c r="P52">
        <v>11747.60968</v>
      </c>
      <c r="Q52">
        <v>23886969.1578</v>
      </c>
      <c r="R52" s="13">
        <v>744</v>
      </c>
      <c r="S52" s="13">
        <v>0</v>
      </c>
      <c r="T52" s="13">
        <v>744</v>
      </c>
      <c r="U52" s="13">
        <v>0</v>
      </c>
    </row>
    <row r="53" spans="1:21" ht="14.4" x14ac:dyDescent="0.3">
      <c r="A53" s="21">
        <v>34</v>
      </c>
      <c r="B53" s="14">
        <v>3067</v>
      </c>
      <c r="C53" s="12">
        <v>4.5999999046325701</v>
      </c>
      <c r="D53" s="12"/>
      <c r="E53" s="12">
        <v>4.4000000953674299</v>
      </c>
      <c r="F53" s="12">
        <v>0</v>
      </c>
      <c r="G53" s="12">
        <v>0.8</v>
      </c>
      <c r="H53" s="13">
        <v>47</v>
      </c>
      <c r="I53">
        <v>4578.7483600000005</v>
      </c>
      <c r="J53">
        <v>0</v>
      </c>
      <c r="K53">
        <v>4578.7483600000005</v>
      </c>
      <c r="L53">
        <v>37847.926719999996</v>
      </c>
      <c r="M53">
        <v>77.043959999999998</v>
      </c>
      <c r="N53">
        <v>37924.970680000006</v>
      </c>
      <c r="O53">
        <v>19441209.43888</v>
      </c>
      <c r="P53">
        <v>12215.76052</v>
      </c>
      <c r="Q53">
        <v>19453425.1994</v>
      </c>
      <c r="R53" s="13">
        <v>744</v>
      </c>
      <c r="S53" s="13">
        <v>0</v>
      </c>
      <c r="T53" s="13">
        <v>744</v>
      </c>
      <c r="U53" s="13">
        <v>0</v>
      </c>
    </row>
    <row r="54" spans="1:21" ht="14.4" x14ac:dyDescent="0.3">
      <c r="A54" s="21">
        <v>35</v>
      </c>
      <c r="B54" s="14">
        <v>3068</v>
      </c>
      <c r="C54" s="12">
        <v>4.5999999046325701</v>
      </c>
      <c r="D54" s="12">
        <v>4.8000001907348597</v>
      </c>
      <c r="E54" s="12">
        <v>4.4000000953674299</v>
      </c>
      <c r="F54" s="12">
        <v>-6</v>
      </c>
      <c r="G54" s="12">
        <v>0.8</v>
      </c>
      <c r="H54" s="13">
        <v>45</v>
      </c>
      <c r="I54">
        <v>4387.4324800000004</v>
      </c>
      <c r="J54">
        <v>0</v>
      </c>
      <c r="K54">
        <v>4387.4324800000004</v>
      </c>
      <c r="L54">
        <v>25782.942439999999</v>
      </c>
      <c r="M54">
        <v>0.32863999999999999</v>
      </c>
      <c r="N54">
        <v>25783.271080000002</v>
      </c>
      <c r="O54">
        <v>23713783.363840003</v>
      </c>
      <c r="P54">
        <v>12291.398280000001</v>
      </c>
      <c r="Q54">
        <v>23726074.762120001</v>
      </c>
      <c r="R54" s="13">
        <v>744</v>
      </c>
      <c r="S54" s="13">
        <v>0</v>
      </c>
      <c r="T54" s="13">
        <v>744</v>
      </c>
      <c r="U54" s="13">
        <v>0</v>
      </c>
    </row>
    <row r="55" spans="1:21" ht="14.4" x14ac:dyDescent="0.3">
      <c r="A55" s="21">
        <v>36</v>
      </c>
      <c r="B55" s="14">
        <v>3070</v>
      </c>
      <c r="C55" s="12">
        <v>4.5999999046325701</v>
      </c>
      <c r="D55" s="12">
        <v>5</v>
      </c>
      <c r="E55" s="12">
        <v>4.4000000953674299</v>
      </c>
      <c r="F55" s="12">
        <v>-10</v>
      </c>
      <c r="G55" s="12">
        <v>0.8</v>
      </c>
      <c r="H55" s="13">
        <v>22</v>
      </c>
      <c r="I55">
        <v>2202.0428400000001</v>
      </c>
      <c r="J55">
        <v>0</v>
      </c>
      <c r="K55">
        <v>2202.0428400000001</v>
      </c>
      <c r="L55">
        <v>19622.930079999998</v>
      </c>
      <c r="M55">
        <v>0.32863999999999999</v>
      </c>
      <c r="N55">
        <v>19623.258720000002</v>
      </c>
      <c r="O55">
        <v>20877277.123720001</v>
      </c>
      <c r="P55">
        <v>11889.405199999999</v>
      </c>
      <c r="Q55">
        <v>20889166.528919999</v>
      </c>
      <c r="R55" s="13">
        <v>744</v>
      </c>
      <c r="S55" s="13">
        <v>0</v>
      </c>
      <c r="T55" s="13">
        <v>744</v>
      </c>
      <c r="U55" s="13">
        <v>0</v>
      </c>
    </row>
    <row r="56" spans="1:21" ht="14.4" x14ac:dyDescent="0.3">
      <c r="A56" s="21">
        <v>37</v>
      </c>
      <c r="B56" s="14">
        <v>3071</v>
      </c>
      <c r="C56" s="12">
        <v>4.5999999046325701</v>
      </c>
      <c r="D56" s="12">
        <v>4.6999998092651403</v>
      </c>
      <c r="E56" s="12">
        <v>4.4000000953674299</v>
      </c>
      <c r="F56" s="12">
        <v>6</v>
      </c>
      <c r="G56" s="12">
        <v>0.8</v>
      </c>
      <c r="H56" s="13">
        <v>81</v>
      </c>
      <c r="I56">
        <v>7950.0417600000001</v>
      </c>
      <c r="J56">
        <v>0</v>
      </c>
      <c r="K56">
        <v>7950.0417600000001</v>
      </c>
      <c r="L56">
        <v>71738.737120000005</v>
      </c>
      <c r="M56">
        <v>0.33812000000000003</v>
      </c>
      <c r="N56">
        <v>71739.075240000006</v>
      </c>
      <c r="O56">
        <v>23070476.46988</v>
      </c>
      <c r="P56">
        <v>12213.008160000001</v>
      </c>
      <c r="Q56">
        <v>23082689.478040002</v>
      </c>
      <c r="R56" s="13">
        <v>744</v>
      </c>
      <c r="S56" s="13">
        <v>0</v>
      </c>
      <c r="T56" s="13">
        <v>744</v>
      </c>
      <c r="U56" s="13">
        <v>0</v>
      </c>
    </row>
    <row r="57" spans="1:21" ht="9" customHeight="1" x14ac:dyDescent="0.25">
      <c r="A57"/>
      <c r="B57" s="14">
        <v>88</v>
      </c>
      <c r="C57" s="12"/>
      <c r="D57" s="12"/>
      <c r="E57" s="12"/>
      <c r="F57" s="12"/>
      <c r="G57" s="12"/>
      <c r="H57" s="13"/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3"/>
      <c r="S57" s="13"/>
      <c r="T57" s="13"/>
      <c r="U57" s="13"/>
    </row>
    <row r="58" spans="1:21" ht="14.4" x14ac:dyDescent="0.3">
      <c r="A58" s="21">
        <v>38</v>
      </c>
      <c r="B58" s="14">
        <v>3072</v>
      </c>
      <c r="C58" s="12">
        <v>4.5</v>
      </c>
      <c r="D58" s="12">
        <v>4.8000001907348597</v>
      </c>
      <c r="E58" s="12">
        <v>4.3000001907348597</v>
      </c>
      <c r="F58" s="12">
        <v>7</v>
      </c>
      <c r="G58" s="12">
        <v>-2</v>
      </c>
      <c r="H58" s="13">
        <v>92</v>
      </c>
      <c r="I58">
        <v>9015.84656</v>
      </c>
      <c r="J58">
        <v>0</v>
      </c>
      <c r="K58">
        <v>9015.84656</v>
      </c>
      <c r="L58">
        <v>78329.049840000007</v>
      </c>
      <c r="M58">
        <v>0.36340000000000006</v>
      </c>
      <c r="N58">
        <v>78329.413240000009</v>
      </c>
      <c r="O58">
        <v>21384673.435199998</v>
      </c>
      <c r="P58">
        <v>11961.386839999999</v>
      </c>
      <c r="Q58">
        <v>21396634.822039999</v>
      </c>
      <c r="R58" s="13">
        <v>744</v>
      </c>
      <c r="S58" s="13">
        <v>0</v>
      </c>
      <c r="T58" s="13">
        <v>744</v>
      </c>
      <c r="U58" s="13">
        <v>0</v>
      </c>
    </row>
    <row r="59" spans="1:21" ht="14.4" x14ac:dyDescent="0.3">
      <c r="A59" s="21">
        <v>39</v>
      </c>
      <c r="B59" s="14">
        <v>3073</v>
      </c>
      <c r="C59" s="12">
        <v>4.5</v>
      </c>
      <c r="D59" s="12"/>
      <c r="E59" s="12">
        <v>4.3000001907348597</v>
      </c>
      <c r="F59" s="12">
        <v>0</v>
      </c>
      <c r="G59" s="12">
        <v>-2</v>
      </c>
      <c r="H59" s="13">
        <v>65</v>
      </c>
      <c r="I59">
        <v>6396.7880000000005</v>
      </c>
      <c r="J59">
        <v>0</v>
      </c>
      <c r="K59">
        <v>6396.7880000000005</v>
      </c>
      <c r="L59">
        <v>30834.711200000002</v>
      </c>
      <c r="M59">
        <v>51.141440000000003</v>
      </c>
      <c r="N59">
        <v>30885.852640000005</v>
      </c>
      <c r="O59">
        <v>18289690.583720002</v>
      </c>
      <c r="P59">
        <v>17902.09204</v>
      </c>
      <c r="Q59">
        <v>18307592.675760001</v>
      </c>
      <c r="R59" s="13">
        <v>744</v>
      </c>
      <c r="S59" s="13">
        <v>0</v>
      </c>
      <c r="T59" s="13">
        <v>744</v>
      </c>
      <c r="U59" s="13">
        <v>0</v>
      </c>
    </row>
    <row r="60" spans="1:21" ht="14.4" x14ac:dyDescent="0.3">
      <c r="A60" s="21">
        <v>40</v>
      </c>
      <c r="B60" s="14">
        <v>3074</v>
      </c>
      <c r="C60" s="12">
        <v>4.5</v>
      </c>
      <c r="D60" s="12"/>
      <c r="E60" s="12">
        <v>4.3000001907348597</v>
      </c>
      <c r="F60" s="12">
        <v>0</v>
      </c>
      <c r="G60" s="12">
        <v>-2</v>
      </c>
      <c r="H60" s="13">
        <v>68</v>
      </c>
      <c r="I60">
        <v>6635.6144800000011</v>
      </c>
      <c r="J60">
        <v>0</v>
      </c>
      <c r="K60">
        <v>6635.6144800000011</v>
      </c>
      <c r="L60">
        <v>47627.406240000004</v>
      </c>
      <c r="M60">
        <v>0</v>
      </c>
      <c r="N60">
        <v>47627.406240000004</v>
      </c>
      <c r="O60">
        <v>17799861.666560002</v>
      </c>
      <c r="P60">
        <v>13177.655040000001</v>
      </c>
      <c r="Q60">
        <v>17813039.321600001</v>
      </c>
      <c r="R60" s="13">
        <v>744</v>
      </c>
      <c r="S60" s="13">
        <v>0</v>
      </c>
      <c r="T60" s="13">
        <v>744</v>
      </c>
      <c r="U60" s="13">
        <v>0</v>
      </c>
    </row>
    <row r="61" spans="1:21" ht="14.4" x14ac:dyDescent="0.3">
      <c r="A61" s="21">
        <v>41</v>
      </c>
      <c r="B61" s="14">
        <v>3075</v>
      </c>
      <c r="C61" s="12">
        <v>4.5</v>
      </c>
      <c r="D61" s="12">
        <v>5</v>
      </c>
      <c r="E61" s="12">
        <v>4.3000001907348597</v>
      </c>
      <c r="F61" s="12">
        <v>5</v>
      </c>
      <c r="G61" s="12">
        <v>-2</v>
      </c>
      <c r="H61" s="13">
        <v>28</v>
      </c>
      <c r="I61">
        <v>2742.0963200000001</v>
      </c>
      <c r="J61">
        <v>0</v>
      </c>
      <c r="K61">
        <v>2742.0963200000001</v>
      </c>
      <c r="L61">
        <v>21499.793120000002</v>
      </c>
      <c r="M61">
        <v>0.34444000000000002</v>
      </c>
      <c r="N61">
        <v>21500.137560000003</v>
      </c>
      <c r="O61">
        <v>14059930.920480002</v>
      </c>
      <c r="P61">
        <v>14033.329319999999</v>
      </c>
      <c r="Q61">
        <v>14073964.249800002</v>
      </c>
      <c r="R61" s="13">
        <v>744</v>
      </c>
      <c r="S61" s="13">
        <v>0</v>
      </c>
      <c r="T61" s="13">
        <v>744</v>
      </c>
      <c r="U61" s="13">
        <v>0</v>
      </c>
    </row>
    <row r="62" spans="1:21" ht="14.4" x14ac:dyDescent="0.3">
      <c r="A62" s="21">
        <v>42</v>
      </c>
      <c r="B62" s="14">
        <v>3076</v>
      </c>
      <c r="C62" s="12">
        <v>4.5</v>
      </c>
      <c r="D62" s="12">
        <v>5</v>
      </c>
      <c r="E62" s="12">
        <v>4.3000001907348597</v>
      </c>
      <c r="F62" s="12">
        <v>5</v>
      </c>
      <c r="G62" s="12">
        <v>-2</v>
      </c>
      <c r="H62" s="13">
        <v>59</v>
      </c>
      <c r="I62">
        <v>5817.4525599999997</v>
      </c>
      <c r="J62">
        <v>0</v>
      </c>
      <c r="K62">
        <v>5817.4525599999997</v>
      </c>
      <c r="L62">
        <v>52004.660359999994</v>
      </c>
      <c r="M62">
        <v>0</v>
      </c>
      <c r="N62">
        <v>52004.660359999994</v>
      </c>
      <c r="O62">
        <v>19848915.138439998</v>
      </c>
      <c r="P62">
        <v>14842.219800000001</v>
      </c>
      <c r="Q62">
        <v>19863757.358240001</v>
      </c>
      <c r="R62" s="13">
        <v>744</v>
      </c>
      <c r="S62" s="13">
        <v>0</v>
      </c>
      <c r="T62" s="13">
        <v>744</v>
      </c>
      <c r="U62" s="13">
        <v>0</v>
      </c>
    </row>
    <row r="63" spans="1:21" ht="14.4" x14ac:dyDescent="0.3">
      <c r="A63" s="21">
        <v>43</v>
      </c>
      <c r="B63" s="14">
        <v>3078</v>
      </c>
      <c r="C63" s="12">
        <v>4.5</v>
      </c>
      <c r="D63" s="12"/>
      <c r="E63" s="12">
        <v>4.3000001907348597</v>
      </c>
      <c r="F63" s="12">
        <v>0</v>
      </c>
      <c r="G63" s="12">
        <v>-2</v>
      </c>
      <c r="H63" s="13">
        <v>79</v>
      </c>
      <c r="I63">
        <v>7719.2480000000005</v>
      </c>
      <c r="J63">
        <v>0</v>
      </c>
      <c r="K63">
        <v>7719.2480000000005</v>
      </c>
      <c r="L63">
        <v>62275.974920000001</v>
      </c>
      <c r="M63">
        <v>0.36340000000000006</v>
      </c>
      <c r="N63">
        <v>62276.33832000001</v>
      </c>
      <c r="O63">
        <v>21598343.493319999</v>
      </c>
      <c r="P63">
        <v>9645.4386400000003</v>
      </c>
      <c r="Q63">
        <v>21607988.931960002</v>
      </c>
      <c r="R63" s="13">
        <v>744</v>
      </c>
      <c r="S63" s="13">
        <v>0</v>
      </c>
      <c r="T63" s="13">
        <v>744</v>
      </c>
      <c r="U63" s="13">
        <v>0</v>
      </c>
    </row>
    <row r="64" spans="1:21" ht="14.4" x14ac:dyDescent="0.3">
      <c r="A64" s="21">
        <v>44</v>
      </c>
      <c r="B64" s="14">
        <v>3079</v>
      </c>
      <c r="C64" s="12">
        <v>4.5</v>
      </c>
      <c r="D64" s="12"/>
      <c r="E64" s="12">
        <v>4.3000001907348597</v>
      </c>
      <c r="F64" s="12">
        <v>0</v>
      </c>
      <c r="G64" s="12">
        <v>-2</v>
      </c>
      <c r="H64" s="13">
        <v>64</v>
      </c>
      <c r="I64">
        <v>6288.934040000001</v>
      </c>
      <c r="J64">
        <v>0</v>
      </c>
      <c r="K64">
        <v>6288.934040000001</v>
      </c>
      <c r="L64">
        <v>13595.027840000001</v>
      </c>
      <c r="M64">
        <v>1126.4989200000002</v>
      </c>
      <c r="N64">
        <v>14721.526760000001</v>
      </c>
      <c r="O64">
        <v>19826072.256840002</v>
      </c>
      <c r="P64">
        <v>15503.958560000001</v>
      </c>
      <c r="Q64">
        <v>19841576.215400003</v>
      </c>
      <c r="R64" s="13">
        <v>744</v>
      </c>
      <c r="S64" s="13">
        <v>0</v>
      </c>
      <c r="T64" s="13">
        <v>744</v>
      </c>
      <c r="U64" s="13">
        <v>0</v>
      </c>
    </row>
    <row r="65" spans="1:21" ht="14.4" x14ac:dyDescent="0.3">
      <c r="A65" s="21">
        <v>45</v>
      </c>
      <c r="B65" s="14">
        <v>3080</v>
      </c>
      <c r="C65" s="12">
        <v>4.5</v>
      </c>
      <c r="D65" s="12"/>
      <c r="E65" s="12">
        <v>4.3000001907348597</v>
      </c>
      <c r="F65" s="12">
        <v>0</v>
      </c>
      <c r="G65" s="12">
        <v>-2</v>
      </c>
      <c r="H65" s="13">
        <v>23</v>
      </c>
      <c r="I65">
        <v>2232.7043200000003</v>
      </c>
      <c r="J65">
        <v>0</v>
      </c>
      <c r="K65">
        <v>2232.7043200000003</v>
      </c>
      <c r="L65">
        <v>13113.4786</v>
      </c>
      <c r="M65">
        <v>0</v>
      </c>
      <c r="N65">
        <v>13113.4786</v>
      </c>
      <c r="O65">
        <v>14236914.585720001</v>
      </c>
      <c r="P65">
        <v>17132.12328</v>
      </c>
      <c r="Q65">
        <v>14254046.709000003</v>
      </c>
      <c r="R65" s="13">
        <v>744</v>
      </c>
      <c r="S65" s="13">
        <v>0</v>
      </c>
      <c r="T65" s="13">
        <v>744</v>
      </c>
      <c r="U65" s="13">
        <v>0</v>
      </c>
    </row>
    <row r="66" spans="1:21" ht="9" customHeight="1" x14ac:dyDescent="0.25">
      <c r="A66"/>
      <c r="B66" s="14"/>
      <c r="C66" s="12"/>
      <c r="D66" s="12"/>
      <c r="E66" s="12"/>
      <c r="F66" s="12"/>
      <c r="G66" s="12"/>
      <c r="H66" s="13"/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3"/>
      <c r="S66" s="13"/>
      <c r="T66" s="13"/>
      <c r="U66" s="13"/>
    </row>
    <row r="67" spans="1:21" ht="14.4" x14ac:dyDescent="0.3">
      <c r="A67" s="21">
        <v>46</v>
      </c>
      <c r="B67" s="14">
        <v>3083</v>
      </c>
      <c r="C67" s="12">
        <v>4.5999999046325701</v>
      </c>
      <c r="D67" s="12"/>
      <c r="E67" s="12">
        <v>4.4000000953674299</v>
      </c>
      <c r="F67" s="12">
        <v>8</v>
      </c>
      <c r="G67" s="12">
        <v>-2.5</v>
      </c>
      <c r="H67" s="13">
        <v>37</v>
      </c>
      <c r="I67">
        <v>3589.7441999999996</v>
      </c>
      <c r="J67">
        <v>0</v>
      </c>
      <c r="K67">
        <v>3589.7441999999996</v>
      </c>
      <c r="L67">
        <v>30504.579680000003</v>
      </c>
      <c r="M67">
        <v>44.638159999999999</v>
      </c>
      <c r="N67">
        <v>30549.217840000001</v>
      </c>
      <c r="O67">
        <v>21093769.697000001</v>
      </c>
      <c r="P67">
        <v>19559.407759999998</v>
      </c>
      <c r="Q67">
        <v>21113329.104760002</v>
      </c>
      <c r="R67" s="13">
        <v>744</v>
      </c>
      <c r="S67" s="13">
        <v>0</v>
      </c>
      <c r="T67" s="13">
        <v>744</v>
      </c>
      <c r="U67" s="13">
        <v>0</v>
      </c>
    </row>
    <row r="68" spans="1:21" ht="14.4" x14ac:dyDescent="0.3">
      <c r="A68" s="21">
        <v>47</v>
      </c>
      <c r="B68" s="14">
        <v>3084</v>
      </c>
      <c r="C68" s="12">
        <v>4.5999999046325701</v>
      </c>
      <c r="D68" s="12">
        <v>5</v>
      </c>
      <c r="E68" s="12">
        <v>4.4000000953674299</v>
      </c>
      <c r="F68" s="12">
        <v>3</v>
      </c>
      <c r="G68" s="12">
        <v>-2.5</v>
      </c>
      <c r="H68" s="13">
        <v>43</v>
      </c>
      <c r="I68">
        <v>4196.1166000000003</v>
      </c>
      <c r="J68">
        <v>0</v>
      </c>
      <c r="K68">
        <v>4196.1166000000003</v>
      </c>
      <c r="L68">
        <v>36691.676400000004</v>
      </c>
      <c r="M68">
        <v>0.32547999999999999</v>
      </c>
      <c r="N68">
        <v>36692.001880000003</v>
      </c>
      <c r="O68">
        <v>20585025.29792</v>
      </c>
      <c r="P68">
        <v>15059.817400000002</v>
      </c>
      <c r="Q68">
        <v>20600085.115320001</v>
      </c>
      <c r="R68" s="13">
        <v>744</v>
      </c>
      <c r="S68" s="13">
        <v>0</v>
      </c>
      <c r="T68" s="13">
        <v>744</v>
      </c>
      <c r="U68" s="13">
        <v>0</v>
      </c>
    </row>
    <row r="69" spans="1:21" ht="14.4" x14ac:dyDescent="0.3">
      <c r="A69" s="21">
        <v>48</v>
      </c>
      <c r="B69" s="14">
        <v>3085</v>
      </c>
      <c r="C69" s="12">
        <v>4.5999999046325701</v>
      </c>
      <c r="D69" s="12">
        <v>4.8000001907348597</v>
      </c>
      <c r="E69" s="12">
        <v>4.4000000953674299</v>
      </c>
      <c r="F69" s="12">
        <v>-13</v>
      </c>
      <c r="G69" s="12">
        <v>-2.5</v>
      </c>
      <c r="H69" s="13">
        <v>43</v>
      </c>
      <c r="I69">
        <v>4234.9087600000003</v>
      </c>
      <c r="J69">
        <v>0</v>
      </c>
      <c r="K69">
        <v>4234.9087600000003</v>
      </c>
      <c r="L69">
        <v>26419.243200000001</v>
      </c>
      <c r="M69">
        <v>0.32547999999999999</v>
      </c>
      <c r="N69">
        <v>26419.56868</v>
      </c>
      <c r="O69">
        <v>19010643.6294</v>
      </c>
      <c r="P69">
        <v>15152.32324</v>
      </c>
      <c r="Q69">
        <v>19025795.952640001</v>
      </c>
      <c r="R69" s="13">
        <v>744</v>
      </c>
      <c r="S69" s="13">
        <v>0</v>
      </c>
      <c r="T69" s="13">
        <v>744</v>
      </c>
      <c r="U69" s="13">
        <v>0</v>
      </c>
    </row>
    <row r="70" spans="1:21" ht="14.4" x14ac:dyDescent="0.3">
      <c r="A70" s="21">
        <v>49</v>
      </c>
      <c r="B70" s="14">
        <v>3087</v>
      </c>
      <c r="C70" s="12">
        <v>4.5999999046325701</v>
      </c>
      <c r="D70" s="12">
        <v>4.9000000953674299</v>
      </c>
      <c r="E70" s="12">
        <v>4.4000000953674299</v>
      </c>
      <c r="F70" s="12">
        <v>-11</v>
      </c>
      <c r="G70" s="12">
        <v>-2.5</v>
      </c>
      <c r="H70" s="13">
        <v>53</v>
      </c>
      <c r="I70">
        <v>5159.9450400000005</v>
      </c>
      <c r="J70">
        <v>0</v>
      </c>
      <c r="K70">
        <v>5159.9450400000005</v>
      </c>
      <c r="L70">
        <v>43713.338600000003</v>
      </c>
      <c r="M70">
        <v>0.32547999999999999</v>
      </c>
      <c r="N70">
        <v>43713.664080000002</v>
      </c>
      <c r="O70">
        <v>23137362.486640003</v>
      </c>
      <c r="P70">
        <v>17906.64876</v>
      </c>
      <c r="Q70">
        <v>23155269.135400001</v>
      </c>
      <c r="R70" s="13">
        <v>744</v>
      </c>
      <c r="S70" s="13">
        <v>0</v>
      </c>
      <c r="T70" s="13">
        <v>744</v>
      </c>
      <c r="U70" s="13">
        <v>0</v>
      </c>
    </row>
    <row r="71" spans="1:21" ht="14.4" x14ac:dyDescent="0.3">
      <c r="A71" s="21">
        <v>50</v>
      </c>
      <c r="B71" s="14">
        <v>3088</v>
      </c>
      <c r="C71" s="12">
        <v>4.5999999046325701</v>
      </c>
      <c r="D71" s="12">
        <v>5</v>
      </c>
      <c r="E71" s="12">
        <v>4.4000000953674299</v>
      </c>
      <c r="F71" s="12">
        <v>5</v>
      </c>
      <c r="G71" s="12">
        <v>-2.5</v>
      </c>
      <c r="H71" s="13">
        <v>36</v>
      </c>
      <c r="I71">
        <v>3543.2132000000001</v>
      </c>
      <c r="J71">
        <v>0</v>
      </c>
      <c r="K71">
        <v>3543.2132000000001</v>
      </c>
      <c r="L71">
        <v>16765.436880000001</v>
      </c>
      <c r="M71">
        <v>0.33179999999999998</v>
      </c>
      <c r="N71">
        <v>16765.768680000001</v>
      </c>
      <c r="O71">
        <v>17903620.468800001</v>
      </c>
      <c r="P71">
        <v>21607.33424</v>
      </c>
      <c r="Q71">
        <v>17925227.803040002</v>
      </c>
      <c r="R71" s="13">
        <v>744</v>
      </c>
      <c r="S71" s="13">
        <v>0</v>
      </c>
      <c r="T71" s="13">
        <v>744</v>
      </c>
      <c r="U71" s="13">
        <v>0</v>
      </c>
    </row>
    <row r="72" spans="1:21" ht="14.4" x14ac:dyDescent="0.3">
      <c r="A72" s="21">
        <v>51</v>
      </c>
      <c r="B72" s="14">
        <v>3089</v>
      </c>
      <c r="C72" s="12">
        <v>4.5999999046325701</v>
      </c>
      <c r="D72" s="12">
        <v>5</v>
      </c>
      <c r="E72" s="12">
        <v>4.4000000953674299</v>
      </c>
      <c r="F72" s="12">
        <v>-11</v>
      </c>
      <c r="G72" s="12">
        <v>-2.5</v>
      </c>
      <c r="H72" s="13">
        <v>67</v>
      </c>
      <c r="I72">
        <v>6571.6466000000009</v>
      </c>
      <c r="J72">
        <v>0</v>
      </c>
      <c r="K72">
        <v>6571.6466000000009</v>
      </c>
      <c r="L72">
        <v>31887.563160000002</v>
      </c>
      <c r="M72">
        <v>0.32547999999999999</v>
      </c>
      <c r="N72">
        <v>31887.888640000001</v>
      </c>
      <c r="O72">
        <v>21908273.221800003</v>
      </c>
      <c r="P72">
        <v>15492.724760000003</v>
      </c>
      <c r="Q72">
        <v>21923765.946560003</v>
      </c>
      <c r="R72" s="13">
        <v>744</v>
      </c>
      <c r="S72" s="13">
        <v>0</v>
      </c>
      <c r="T72" s="13">
        <v>744</v>
      </c>
      <c r="U72" s="13">
        <v>0</v>
      </c>
    </row>
    <row r="73" spans="1:21" ht="14.4" x14ac:dyDescent="0.3">
      <c r="A73" s="21">
        <v>52</v>
      </c>
      <c r="B73" s="14">
        <v>3090</v>
      </c>
      <c r="C73" s="12">
        <v>4.5999999046325701</v>
      </c>
      <c r="D73" s="12">
        <v>5</v>
      </c>
      <c r="E73" s="12">
        <v>4.4000000953674299</v>
      </c>
      <c r="F73" s="12">
        <v>8</v>
      </c>
      <c r="G73" s="12">
        <v>-2.5</v>
      </c>
      <c r="H73" s="13">
        <v>67</v>
      </c>
      <c r="I73">
        <v>6529.4258399999999</v>
      </c>
      <c r="J73">
        <v>0</v>
      </c>
      <c r="K73">
        <v>6529.4258399999999</v>
      </c>
      <c r="L73">
        <v>54398.26556</v>
      </c>
      <c r="M73">
        <v>0.34128000000000003</v>
      </c>
      <c r="N73">
        <v>54398.60684</v>
      </c>
      <c r="O73">
        <v>23984296.096039999</v>
      </c>
      <c r="P73">
        <v>16222.735320000002</v>
      </c>
      <c r="Q73">
        <v>24000518.831360001</v>
      </c>
      <c r="R73" s="13">
        <v>744</v>
      </c>
      <c r="S73" s="13">
        <v>0</v>
      </c>
      <c r="T73" s="13">
        <v>744</v>
      </c>
      <c r="U73" s="13">
        <v>0</v>
      </c>
    </row>
    <row r="74" spans="1:21" ht="9" customHeight="1" x14ac:dyDescent="0.25">
      <c r="A74"/>
      <c r="B74" s="14"/>
      <c r="C74" s="12"/>
      <c r="D74" s="12"/>
      <c r="E74" s="12"/>
      <c r="F74" s="12"/>
      <c r="G74" s="12"/>
      <c r="H74" s="13"/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3"/>
      <c r="S74" s="13"/>
      <c r="T74" s="13"/>
      <c r="U74" s="13"/>
    </row>
    <row r="75" spans="1:21" ht="14.4" x14ac:dyDescent="0.3">
      <c r="A75" s="21">
        <v>53</v>
      </c>
      <c r="B75" s="14">
        <v>3093</v>
      </c>
      <c r="C75" s="12">
        <v>4.5</v>
      </c>
      <c r="D75" s="12">
        <v>5</v>
      </c>
      <c r="E75" s="12">
        <v>4.3000001907348597</v>
      </c>
      <c r="F75" s="12">
        <v>1</v>
      </c>
      <c r="G75" s="12">
        <v>-14</v>
      </c>
      <c r="H75" s="13">
        <v>30</v>
      </c>
      <c r="I75">
        <v>2892.8567600000001</v>
      </c>
      <c r="J75">
        <v>0</v>
      </c>
      <c r="K75">
        <v>2892.8567600000001</v>
      </c>
      <c r="L75">
        <v>19626.78212</v>
      </c>
      <c r="M75">
        <v>0.33179999999999998</v>
      </c>
      <c r="N75">
        <v>19627.11392</v>
      </c>
      <c r="O75">
        <v>21427208.978599999</v>
      </c>
      <c r="P75">
        <v>16286.238679999999</v>
      </c>
      <c r="Q75">
        <v>21443495.21728</v>
      </c>
      <c r="R75" s="13">
        <v>744</v>
      </c>
      <c r="S75" s="13">
        <v>0</v>
      </c>
      <c r="T75" s="13">
        <v>744</v>
      </c>
      <c r="U75" s="13">
        <v>0</v>
      </c>
    </row>
    <row r="76" spans="1:21" ht="14.4" x14ac:dyDescent="0.3">
      <c r="A76" s="21">
        <v>54</v>
      </c>
      <c r="B76" s="14">
        <v>3094</v>
      </c>
      <c r="C76" s="12">
        <v>4.5</v>
      </c>
      <c r="D76" s="12">
        <v>5</v>
      </c>
      <c r="E76" s="12">
        <v>4.3000001907348597</v>
      </c>
      <c r="F76" s="12">
        <v>-12</v>
      </c>
      <c r="G76" s="12">
        <v>-14</v>
      </c>
      <c r="H76" s="13">
        <v>29</v>
      </c>
      <c r="I76">
        <v>2868.8565600000002</v>
      </c>
      <c r="J76">
        <v>0</v>
      </c>
      <c r="K76">
        <v>2868.8565600000002</v>
      </c>
      <c r="L76">
        <v>15610.147200000001</v>
      </c>
      <c r="M76">
        <v>0</v>
      </c>
      <c r="N76">
        <v>15610.147200000001</v>
      </c>
      <c r="O76">
        <v>13209955.055840001</v>
      </c>
      <c r="P76">
        <v>19844.48084</v>
      </c>
      <c r="Q76">
        <v>13229799.53668</v>
      </c>
      <c r="R76" s="13">
        <v>744</v>
      </c>
      <c r="S76" s="13">
        <v>0</v>
      </c>
      <c r="T76" s="13">
        <v>744</v>
      </c>
      <c r="U76" s="13">
        <v>0</v>
      </c>
    </row>
    <row r="77" spans="1:21" ht="14.4" x14ac:dyDescent="0.3">
      <c r="A77" s="21">
        <v>55</v>
      </c>
      <c r="B77" s="14">
        <v>3095</v>
      </c>
      <c r="C77" s="12">
        <v>4.5</v>
      </c>
      <c r="D77" s="12">
        <v>4.8000001907348597</v>
      </c>
      <c r="E77" s="12">
        <v>4.3000001907348597</v>
      </c>
      <c r="F77" s="12">
        <v>-13</v>
      </c>
      <c r="G77" s="12">
        <v>-14</v>
      </c>
      <c r="H77" s="13">
        <v>22</v>
      </c>
      <c r="I77">
        <v>2188.0345600000001</v>
      </c>
      <c r="J77">
        <v>0</v>
      </c>
      <c r="K77">
        <v>2188.0345600000001</v>
      </c>
      <c r="L77">
        <v>10928.23748</v>
      </c>
      <c r="M77">
        <v>0</v>
      </c>
      <c r="N77">
        <v>10928.23748</v>
      </c>
      <c r="O77">
        <v>18512715.771280002</v>
      </c>
      <c r="P77">
        <v>12200.020560000001</v>
      </c>
      <c r="Q77">
        <v>18524915.791840002</v>
      </c>
      <c r="R77" s="13">
        <v>744</v>
      </c>
      <c r="S77" s="13">
        <v>0</v>
      </c>
      <c r="T77" s="13">
        <v>744</v>
      </c>
      <c r="U77" s="13">
        <v>0</v>
      </c>
    </row>
    <row r="78" spans="1:21" ht="14.4" x14ac:dyDescent="0.3">
      <c r="A78" s="21">
        <v>56</v>
      </c>
      <c r="B78" s="14">
        <v>3096</v>
      </c>
      <c r="C78" s="12">
        <v>4.5</v>
      </c>
      <c r="D78" s="12">
        <v>4.9000000953674299</v>
      </c>
      <c r="E78" s="12">
        <v>4.3000001907348597</v>
      </c>
      <c r="F78" s="12">
        <v>-11</v>
      </c>
      <c r="G78" s="12">
        <v>-14</v>
      </c>
      <c r="H78" s="13">
        <v>33</v>
      </c>
      <c r="I78">
        <v>3271.5701200000003</v>
      </c>
      <c r="J78">
        <v>0</v>
      </c>
      <c r="K78">
        <v>3271.5701200000003</v>
      </c>
      <c r="L78">
        <v>29345.377920000003</v>
      </c>
      <c r="M78">
        <v>0.32863999999999999</v>
      </c>
      <c r="N78">
        <v>29345.706560000002</v>
      </c>
      <c r="O78">
        <v>21318732.735600002</v>
      </c>
      <c r="P78">
        <v>16226.590520000002</v>
      </c>
      <c r="Q78">
        <v>21334959.32612</v>
      </c>
      <c r="R78" s="13">
        <v>744</v>
      </c>
      <c r="S78" s="13">
        <v>0</v>
      </c>
      <c r="T78" s="13">
        <v>744</v>
      </c>
      <c r="U78" s="13">
        <v>0</v>
      </c>
    </row>
    <row r="79" spans="1:21" ht="14.4" x14ac:dyDescent="0.3">
      <c r="A79" s="21">
        <v>57</v>
      </c>
      <c r="B79" s="14">
        <v>3097</v>
      </c>
      <c r="C79" s="12">
        <v>4.5</v>
      </c>
      <c r="D79" s="12">
        <v>5</v>
      </c>
      <c r="E79" s="12">
        <v>4.3000001907348597</v>
      </c>
      <c r="F79" s="12">
        <v>-2</v>
      </c>
      <c r="G79" s="12">
        <v>-14</v>
      </c>
      <c r="H79" s="13">
        <v>55</v>
      </c>
      <c r="I79">
        <v>5407.0981200000006</v>
      </c>
      <c r="J79">
        <v>0</v>
      </c>
      <c r="K79">
        <v>5407.0981200000006</v>
      </c>
      <c r="L79">
        <v>45650.036240000001</v>
      </c>
      <c r="M79">
        <v>95.371960000000001</v>
      </c>
      <c r="N79">
        <v>45745.408200000005</v>
      </c>
      <c r="O79">
        <v>20829345.532720003</v>
      </c>
      <c r="P79">
        <v>13570.398800000001</v>
      </c>
      <c r="Q79">
        <v>20842915.93152</v>
      </c>
      <c r="R79" s="13">
        <v>744</v>
      </c>
      <c r="S79" s="13">
        <v>0</v>
      </c>
      <c r="T79" s="13">
        <v>744</v>
      </c>
      <c r="U79" s="13">
        <v>0</v>
      </c>
    </row>
    <row r="80" spans="1:21" ht="14.4" x14ac:dyDescent="0.3">
      <c r="A80" s="21">
        <v>58</v>
      </c>
      <c r="B80" s="14">
        <v>3098</v>
      </c>
      <c r="C80" s="12">
        <v>4.5</v>
      </c>
      <c r="D80" s="12">
        <v>5</v>
      </c>
      <c r="E80" s="12">
        <v>4.3000001907348597</v>
      </c>
      <c r="F80" s="12">
        <v>-12</v>
      </c>
      <c r="G80" s="12">
        <v>-14</v>
      </c>
      <c r="H80" s="13">
        <v>27</v>
      </c>
      <c r="I80">
        <v>2621.2136800000003</v>
      </c>
      <c r="J80">
        <v>0</v>
      </c>
      <c r="K80">
        <v>2621.2136800000003</v>
      </c>
      <c r="L80">
        <v>19553.877759999999</v>
      </c>
      <c r="M80">
        <v>0.33495999999999998</v>
      </c>
      <c r="N80">
        <v>19554.212720000003</v>
      </c>
      <c r="O80">
        <v>16424182.068360001</v>
      </c>
      <c r="P80">
        <v>21657.929</v>
      </c>
      <c r="Q80">
        <v>16445839.997360002</v>
      </c>
      <c r="R80" s="13">
        <v>744</v>
      </c>
      <c r="S80" s="13">
        <v>0</v>
      </c>
      <c r="T80" s="13">
        <v>744</v>
      </c>
      <c r="U80" s="13">
        <v>0</v>
      </c>
    </row>
    <row r="81" spans="1:21" ht="14.4" x14ac:dyDescent="0.3">
      <c r="A81" s="21">
        <v>59</v>
      </c>
      <c r="B81" s="14">
        <v>3100</v>
      </c>
      <c r="C81" s="12">
        <v>4.5</v>
      </c>
      <c r="D81" s="12">
        <v>5</v>
      </c>
      <c r="E81" s="12">
        <v>4.3000001907348597</v>
      </c>
      <c r="F81" s="12">
        <v>-9</v>
      </c>
      <c r="G81" s="12">
        <v>-14</v>
      </c>
      <c r="H81" s="13">
        <v>26</v>
      </c>
      <c r="I81">
        <v>2500.1351200000004</v>
      </c>
      <c r="J81">
        <v>0</v>
      </c>
      <c r="K81">
        <v>2500.1351200000004</v>
      </c>
      <c r="L81">
        <v>21991.85252</v>
      </c>
      <c r="M81">
        <v>0.33179999999999998</v>
      </c>
      <c r="N81">
        <v>21992.18432</v>
      </c>
      <c r="O81">
        <v>20648125.682080001</v>
      </c>
      <c r="P81">
        <v>21501.306760000003</v>
      </c>
      <c r="Q81">
        <v>20669626.988840003</v>
      </c>
      <c r="R81" s="13">
        <v>744</v>
      </c>
      <c r="S81" s="13">
        <v>0</v>
      </c>
      <c r="T81" s="13">
        <v>744</v>
      </c>
      <c r="U81" s="13">
        <v>0</v>
      </c>
    </row>
    <row r="82" spans="1:21" ht="9" customHeight="1" x14ac:dyDescent="0.25">
      <c r="A82"/>
      <c r="B82" s="14"/>
      <c r="C82" s="12"/>
      <c r="D82" s="12"/>
      <c r="E82" s="12"/>
      <c r="F82" s="12"/>
      <c r="G82" s="12"/>
      <c r="H82" s="13"/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3"/>
      <c r="S82" s="13"/>
      <c r="T82" s="13"/>
      <c r="U82" s="13"/>
    </row>
    <row r="83" spans="1:21" ht="14.4" x14ac:dyDescent="0.3">
      <c r="A83" s="21">
        <v>60</v>
      </c>
      <c r="B83" s="14">
        <v>3103</v>
      </c>
      <c r="C83" s="12">
        <v>4.5999999046325701</v>
      </c>
      <c r="D83" s="12"/>
      <c r="E83" s="12">
        <v>4.4000000953674299</v>
      </c>
      <c r="F83" s="12">
        <v>-13</v>
      </c>
      <c r="G83" s="12">
        <v>-7.5</v>
      </c>
      <c r="H83" s="13">
        <v>68</v>
      </c>
      <c r="I83">
        <v>6627.1899200000007</v>
      </c>
      <c r="J83">
        <v>0</v>
      </c>
      <c r="K83">
        <v>6627.1899200000007</v>
      </c>
      <c r="L83">
        <v>30250.294480000004</v>
      </c>
      <c r="M83">
        <v>26.578759999999999</v>
      </c>
      <c r="N83">
        <v>30276.873240000004</v>
      </c>
      <c r="O83">
        <v>23581940.257520001</v>
      </c>
      <c r="P83">
        <v>11520.671120000001</v>
      </c>
      <c r="Q83">
        <v>23593460.928640001</v>
      </c>
      <c r="R83" s="13">
        <v>744</v>
      </c>
      <c r="S83" s="13">
        <v>0</v>
      </c>
      <c r="T83" s="13">
        <v>744</v>
      </c>
      <c r="U83" s="13">
        <v>0</v>
      </c>
    </row>
    <row r="84" spans="1:21" ht="14.4" x14ac:dyDescent="0.3">
      <c r="A84" s="21">
        <v>61</v>
      </c>
      <c r="B84" s="14">
        <v>3104</v>
      </c>
      <c r="C84" s="12">
        <v>4.5999999046325701</v>
      </c>
      <c r="D84" s="12"/>
      <c r="E84" s="12">
        <v>4.4000000953674299</v>
      </c>
      <c r="F84" s="12">
        <v>11</v>
      </c>
      <c r="G84" s="12">
        <v>-7.5</v>
      </c>
      <c r="H84" s="13">
        <v>95</v>
      </c>
      <c r="I84">
        <v>9314.4286400000001</v>
      </c>
      <c r="J84">
        <v>0</v>
      </c>
      <c r="K84">
        <v>9314.4286400000001</v>
      </c>
      <c r="L84">
        <v>84510.57548</v>
      </c>
      <c r="M84">
        <v>0.33495999999999998</v>
      </c>
      <c r="N84">
        <v>84510.910440000007</v>
      </c>
      <c r="O84">
        <v>24699383.439120002</v>
      </c>
      <c r="P84">
        <v>12878.80436</v>
      </c>
      <c r="Q84">
        <v>24712262.243480001</v>
      </c>
      <c r="R84" s="13">
        <v>744</v>
      </c>
      <c r="S84" s="13">
        <v>0</v>
      </c>
      <c r="T84" s="13">
        <v>744</v>
      </c>
      <c r="U84" s="13">
        <v>0</v>
      </c>
    </row>
    <row r="85" spans="1:21" ht="14.4" x14ac:dyDescent="0.3">
      <c r="A85" s="21">
        <v>62</v>
      </c>
      <c r="B85" s="14">
        <v>3105</v>
      </c>
      <c r="C85" s="12">
        <v>4.5999999046325701</v>
      </c>
      <c r="D85" s="12">
        <v>5</v>
      </c>
      <c r="E85" s="12">
        <v>4.4000000953674299</v>
      </c>
      <c r="F85" s="12">
        <v>8</v>
      </c>
      <c r="G85" s="12">
        <v>-7.5</v>
      </c>
      <c r="H85" s="13">
        <v>92</v>
      </c>
      <c r="I85">
        <v>9060.4183599999997</v>
      </c>
      <c r="J85">
        <v>0</v>
      </c>
      <c r="K85">
        <v>9060.4183599999997</v>
      </c>
      <c r="L85">
        <v>80447.005080000003</v>
      </c>
      <c r="M85">
        <v>0.36340000000000006</v>
      </c>
      <c r="N85">
        <v>80447.368480000005</v>
      </c>
      <c r="O85">
        <v>24841876.367960002</v>
      </c>
      <c r="P85">
        <v>12075.70616</v>
      </c>
      <c r="Q85">
        <v>24853952.074120004</v>
      </c>
      <c r="R85" s="13">
        <v>744</v>
      </c>
      <c r="S85" s="13">
        <v>0</v>
      </c>
      <c r="T85" s="13">
        <v>744</v>
      </c>
      <c r="U85" s="13">
        <v>0</v>
      </c>
    </row>
    <row r="86" spans="1:21" ht="14.4" x14ac:dyDescent="0.3">
      <c r="A86" s="21">
        <v>63</v>
      </c>
      <c r="B86" s="14">
        <v>3106</v>
      </c>
      <c r="C86" s="12">
        <v>4.5999999046325701</v>
      </c>
      <c r="D86" s="12">
        <v>5</v>
      </c>
      <c r="E86" s="12">
        <v>4.4000000953674299</v>
      </c>
      <c r="F86" s="12">
        <v>-12</v>
      </c>
      <c r="G86" s="12">
        <v>-7.5</v>
      </c>
      <c r="H86" s="13">
        <v>106</v>
      </c>
      <c r="I86">
        <v>10405.4218</v>
      </c>
      <c r="J86">
        <v>0</v>
      </c>
      <c r="K86">
        <v>10405.4218</v>
      </c>
      <c r="L86">
        <v>90189.5916</v>
      </c>
      <c r="M86">
        <v>0.34128000000000003</v>
      </c>
      <c r="N86">
        <v>90189.932879999993</v>
      </c>
      <c r="O86">
        <v>22941451.875</v>
      </c>
      <c r="P86">
        <v>8462.8971200000015</v>
      </c>
      <c r="Q86">
        <v>22949914.772120003</v>
      </c>
      <c r="R86" s="13">
        <v>744</v>
      </c>
      <c r="S86" s="13">
        <v>0</v>
      </c>
      <c r="T86" s="13">
        <v>744</v>
      </c>
      <c r="U86" s="13">
        <v>0</v>
      </c>
    </row>
    <row r="87" spans="1:21" ht="14.4" x14ac:dyDescent="0.3">
      <c r="A87" s="21">
        <v>64</v>
      </c>
      <c r="B87" s="14">
        <v>3107</v>
      </c>
      <c r="C87" s="12">
        <v>4.5999999046325701</v>
      </c>
      <c r="D87" s="12">
        <v>5</v>
      </c>
      <c r="E87" s="12">
        <v>4.4000000953674299</v>
      </c>
      <c r="F87" s="12">
        <v>-12</v>
      </c>
      <c r="G87" s="12">
        <v>-7.5</v>
      </c>
      <c r="H87" s="13">
        <v>28</v>
      </c>
      <c r="I87">
        <v>2776.9700800000001</v>
      </c>
      <c r="J87">
        <v>0</v>
      </c>
      <c r="K87">
        <v>2776.9700800000001</v>
      </c>
      <c r="L87">
        <v>19022.302560000004</v>
      </c>
      <c r="M87">
        <v>3.1600000000000003E-2</v>
      </c>
      <c r="N87">
        <v>19022.334159999999</v>
      </c>
      <c r="O87">
        <v>15475233.74604</v>
      </c>
      <c r="P87">
        <v>14080.58712</v>
      </c>
      <c r="Q87">
        <v>15489314.333160002</v>
      </c>
      <c r="R87" s="13">
        <v>744</v>
      </c>
      <c r="S87" s="13">
        <v>0</v>
      </c>
      <c r="T87" s="13">
        <v>744</v>
      </c>
      <c r="U87" s="13">
        <v>0</v>
      </c>
    </row>
    <row r="88" spans="1:21" ht="14.4" x14ac:dyDescent="0.3">
      <c r="A88" s="21">
        <v>65</v>
      </c>
      <c r="B88" s="14">
        <v>3108</v>
      </c>
      <c r="C88" s="12">
        <v>4.5999999046325701</v>
      </c>
      <c r="D88" s="12"/>
      <c r="E88" s="12">
        <v>4.4000000953674299</v>
      </c>
      <c r="F88" s="12">
        <v>2</v>
      </c>
      <c r="G88" s="12">
        <v>-7.5</v>
      </c>
      <c r="H88" s="13">
        <v>65</v>
      </c>
      <c r="I88">
        <v>6348.4937200000004</v>
      </c>
      <c r="J88">
        <v>0</v>
      </c>
      <c r="K88">
        <v>6348.4937200000004</v>
      </c>
      <c r="L88">
        <v>60293.223439999994</v>
      </c>
      <c r="M88">
        <v>0.34128000000000003</v>
      </c>
      <c r="N88">
        <v>60293.564719999995</v>
      </c>
      <c r="O88">
        <v>21833778.446440004</v>
      </c>
      <c r="P88">
        <v>19462.06712</v>
      </c>
      <c r="Q88">
        <v>21853240.513560001</v>
      </c>
      <c r="R88" s="13">
        <v>744</v>
      </c>
      <c r="S88" s="13">
        <v>0</v>
      </c>
      <c r="T88" s="13">
        <v>744</v>
      </c>
      <c r="U88" s="13">
        <v>0</v>
      </c>
    </row>
    <row r="89" spans="1:21" ht="9" customHeight="1" x14ac:dyDescent="0.25">
      <c r="A89"/>
      <c r="B89" s="14"/>
      <c r="C89" s="12"/>
      <c r="D89" s="12"/>
      <c r="E89" s="12"/>
      <c r="F89" s="12"/>
      <c r="G89" s="12"/>
      <c r="H89" s="13"/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3"/>
      <c r="S89" s="13"/>
      <c r="T89" s="13"/>
      <c r="U89" s="13"/>
    </row>
    <row r="90" spans="1:21" ht="14.4" x14ac:dyDescent="0.3">
      <c r="A90" s="21">
        <v>66</v>
      </c>
      <c r="B90" s="14">
        <v>3114</v>
      </c>
      <c r="C90" s="12">
        <v>4.5</v>
      </c>
      <c r="D90" s="12">
        <v>4.9000000953674299</v>
      </c>
      <c r="E90" s="12">
        <v>4.3000001907348597</v>
      </c>
      <c r="F90" s="12">
        <v>2</v>
      </c>
      <c r="G90" s="12">
        <v>-17</v>
      </c>
      <c r="H90" s="13">
        <v>26</v>
      </c>
      <c r="I90">
        <v>2500.1351200000004</v>
      </c>
      <c r="J90">
        <v>0</v>
      </c>
      <c r="K90">
        <v>2500.1351200000004</v>
      </c>
      <c r="L90">
        <v>25254.2618</v>
      </c>
      <c r="M90">
        <v>37.076280000000004</v>
      </c>
      <c r="N90">
        <v>25291.338080000001</v>
      </c>
      <c r="O90">
        <v>23953674.179240003</v>
      </c>
      <c r="P90">
        <v>16755.32804</v>
      </c>
      <c r="Q90">
        <v>23970429.50728</v>
      </c>
      <c r="R90" s="13">
        <v>744</v>
      </c>
      <c r="S90" s="13">
        <v>0</v>
      </c>
      <c r="T90" s="13">
        <v>744</v>
      </c>
      <c r="U90" s="13">
        <v>0</v>
      </c>
    </row>
    <row r="91" spans="1:21" ht="14.4" x14ac:dyDescent="0.3">
      <c r="A91" s="21">
        <v>67</v>
      </c>
      <c r="B91" s="14">
        <v>3115</v>
      </c>
      <c r="C91" s="12">
        <v>4.5</v>
      </c>
      <c r="D91" s="12"/>
      <c r="E91" s="12">
        <v>4.3000001907348597</v>
      </c>
      <c r="F91" s="12">
        <v>-10</v>
      </c>
      <c r="G91" s="12">
        <v>-17</v>
      </c>
      <c r="H91" s="13">
        <v>42</v>
      </c>
      <c r="I91">
        <v>4114.6138800000008</v>
      </c>
      <c r="J91">
        <v>0</v>
      </c>
      <c r="K91">
        <v>4114.6138800000008</v>
      </c>
      <c r="L91">
        <v>30766.256119999998</v>
      </c>
      <c r="M91">
        <v>0</v>
      </c>
      <c r="N91">
        <v>30766.256119999998</v>
      </c>
      <c r="O91">
        <v>18215552.190000001</v>
      </c>
      <c r="P91">
        <v>8527.6265600000006</v>
      </c>
      <c r="Q91">
        <v>18224079.81656</v>
      </c>
      <c r="R91" s="13">
        <v>744</v>
      </c>
      <c r="S91" s="13">
        <v>0</v>
      </c>
      <c r="T91" s="13">
        <v>744</v>
      </c>
      <c r="U91" s="13">
        <v>0</v>
      </c>
    </row>
    <row r="92" spans="1:21" ht="14.4" x14ac:dyDescent="0.3">
      <c r="A92" s="21">
        <v>68</v>
      </c>
      <c r="B92" s="14">
        <v>3117</v>
      </c>
      <c r="C92" s="12">
        <v>4.5</v>
      </c>
      <c r="D92" s="12">
        <v>5</v>
      </c>
      <c r="E92" s="12">
        <v>4.3000001907348597</v>
      </c>
      <c r="F92" s="12">
        <v>1</v>
      </c>
      <c r="G92" s="12">
        <v>-17</v>
      </c>
      <c r="H92" s="13">
        <v>31</v>
      </c>
      <c r="I92">
        <v>3047.33968</v>
      </c>
      <c r="J92">
        <v>0</v>
      </c>
      <c r="K92">
        <v>3047.33968</v>
      </c>
      <c r="L92">
        <v>24431.75488</v>
      </c>
      <c r="M92">
        <v>0.34444000000000002</v>
      </c>
      <c r="N92">
        <v>24432.099320000001</v>
      </c>
      <c r="O92">
        <v>16923754.01128</v>
      </c>
      <c r="P92">
        <v>15317.09828</v>
      </c>
      <c r="Q92">
        <v>16939071.109560002</v>
      </c>
      <c r="R92" s="13">
        <v>744</v>
      </c>
      <c r="S92" s="13">
        <v>0</v>
      </c>
      <c r="T92" s="13">
        <v>744</v>
      </c>
      <c r="U92" s="13">
        <v>0</v>
      </c>
    </row>
    <row r="93" spans="1:21" ht="9" customHeight="1" x14ac:dyDescent="0.25">
      <c r="A93"/>
      <c r="B93" s="14"/>
      <c r="C93" s="12"/>
      <c r="D93" s="12"/>
      <c r="E93" s="12"/>
      <c r="F93" s="12"/>
      <c r="G93" s="12"/>
      <c r="H93" s="13"/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3"/>
      <c r="S93" s="13"/>
      <c r="T93" s="13"/>
      <c r="U93" s="13"/>
    </row>
    <row r="94" spans="1:21" ht="14.4" x14ac:dyDescent="0.3">
      <c r="A94" s="21">
        <v>69</v>
      </c>
      <c r="B94" s="14">
        <v>3124</v>
      </c>
      <c r="C94" s="12">
        <v>4.5</v>
      </c>
      <c r="D94" s="12"/>
      <c r="E94" s="12">
        <v>4.4000000953674299</v>
      </c>
      <c r="F94" s="12">
        <v>8</v>
      </c>
      <c r="G94" s="12">
        <v>-12.5</v>
      </c>
      <c r="H94" s="13">
        <v>86</v>
      </c>
      <c r="I94">
        <v>8425.8334799999993</v>
      </c>
      <c r="J94">
        <v>0</v>
      </c>
      <c r="K94">
        <v>8425.8334799999993</v>
      </c>
      <c r="L94">
        <v>68104.917239999995</v>
      </c>
      <c r="M94">
        <v>0.33179999999999998</v>
      </c>
      <c r="N94">
        <v>68105.24904000001</v>
      </c>
      <c r="O94">
        <v>22898182.882960003</v>
      </c>
      <c r="P94">
        <v>11771.259120000001</v>
      </c>
      <c r="Q94">
        <v>22909954.142080002</v>
      </c>
      <c r="R94" s="13">
        <v>744</v>
      </c>
      <c r="S94" s="13">
        <v>0</v>
      </c>
      <c r="T94" s="13">
        <v>744</v>
      </c>
      <c r="U94" s="13">
        <v>0</v>
      </c>
    </row>
    <row r="95" spans="1:21" ht="14.4" x14ac:dyDescent="0.3">
      <c r="A95" s="21">
        <v>70</v>
      </c>
      <c r="B95" s="14">
        <v>3125</v>
      </c>
      <c r="C95" s="12">
        <v>4.5</v>
      </c>
      <c r="D95" s="12">
        <v>5</v>
      </c>
      <c r="E95" s="12">
        <v>4.4000000953674299</v>
      </c>
      <c r="F95" s="12">
        <v>2</v>
      </c>
      <c r="G95" s="12">
        <v>-12.5</v>
      </c>
      <c r="H95" s="13">
        <v>86</v>
      </c>
      <c r="I95">
        <v>8389.5882799999999</v>
      </c>
      <c r="J95">
        <v>0</v>
      </c>
      <c r="K95">
        <v>8389.5882799999999</v>
      </c>
      <c r="L95">
        <v>65857.717999999993</v>
      </c>
      <c r="M95">
        <v>0.33179999999999998</v>
      </c>
      <c r="N95">
        <v>65858.049799999993</v>
      </c>
      <c r="O95">
        <v>22374308.70724</v>
      </c>
      <c r="P95">
        <v>10110.64436</v>
      </c>
      <c r="Q95">
        <v>22384419.351599999</v>
      </c>
      <c r="R95" s="13">
        <v>744</v>
      </c>
      <c r="S95" s="13">
        <v>0</v>
      </c>
      <c r="T95" s="13">
        <v>744</v>
      </c>
      <c r="U95" s="13">
        <v>0</v>
      </c>
    </row>
    <row r="96" spans="1:21" ht="14.4" x14ac:dyDescent="0.3">
      <c r="A96" s="21">
        <v>71</v>
      </c>
      <c r="B96" s="14">
        <v>3127</v>
      </c>
      <c r="C96" s="12">
        <v>4.5</v>
      </c>
      <c r="D96" s="12"/>
      <c r="E96" s="12">
        <v>4.4000000953674299</v>
      </c>
      <c r="F96" s="12">
        <v>-11</v>
      </c>
      <c r="G96" s="12">
        <v>-12.5</v>
      </c>
      <c r="H96" s="13">
        <v>73</v>
      </c>
      <c r="I96">
        <v>7188.5007200000009</v>
      </c>
      <c r="J96">
        <v>0</v>
      </c>
      <c r="K96">
        <v>7188.5007200000009</v>
      </c>
      <c r="L96">
        <v>57233.038360000006</v>
      </c>
      <c r="M96">
        <v>0.33179999999999998</v>
      </c>
      <c r="N96">
        <v>57233.370160000006</v>
      </c>
      <c r="O96">
        <v>20719476.314320002</v>
      </c>
      <c r="P96">
        <v>20337.39344</v>
      </c>
      <c r="Q96">
        <v>20739813.707759999</v>
      </c>
      <c r="R96" s="13">
        <v>744</v>
      </c>
      <c r="S96" s="13">
        <v>0</v>
      </c>
      <c r="T96" s="13">
        <v>744</v>
      </c>
      <c r="U96" s="13">
        <v>0</v>
      </c>
    </row>
    <row r="97" spans="1:21" ht="14.4" x14ac:dyDescent="0.3">
      <c r="A97" s="21">
        <v>72</v>
      </c>
      <c r="B97" s="14">
        <v>3129</v>
      </c>
      <c r="C97" s="12">
        <v>4.5</v>
      </c>
      <c r="D97" s="12"/>
      <c r="E97" s="12">
        <v>4.4000000953674299</v>
      </c>
      <c r="F97" s="12">
        <v>-12</v>
      </c>
      <c r="G97" s="12">
        <v>-12.5</v>
      </c>
      <c r="H97" s="13">
        <v>65</v>
      </c>
      <c r="I97">
        <v>6330.665</v>
      </c>
      <c r="J97">
        <v>0</v>
      </c>
      <c r="K97">
        <v>6330.665</v>
      </c>
      <c r="L97">
        <v>25507.7886</v>
      </c>
      <c r="M97">
        <v>0.33179999999999998</v>
      </c>
      <c r="N97">
        <v>25508.1204</v>
      </c>
      <c r="O97">
        <v>17536957.2632</v>
      </c>
      <c r="P97">
        <v>16844.36736</v>
      </c>
      <c r="Q97">
        <v>17553801.630559999</v>
      </c>
      <c r="R97" s="13">
        <v>744</v>
      </c>
      <c r="S97" s="13">
        <v>0</v>
      </c>
      <c r="T97" s="13">
        <v>744</v>
      </c>
      <c r="U97" s="13">
        <v>0</v>
      </c>
    </row>
    <row r="98" spans="1:21" ht="9" customHeight="1" x14ac:dyDescent="0.25">
      <c r="A98"/>
      <c r="B98" s="14"/>
      <c r="C98" s="12"/>
      <c r="D98" s="12"/>
      <c r="E98" s="12"/>
      <c r="F98" s="12"/>
      <c r="G98" s="12"/>
      <c r="H98" s="13"/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3"/>
      <c r="S98" s="13"/>
      <c r="T98" s="13"/>
      <c r="U98" s="13"/>
    </row>
    <row r="99" spans="1:21" ht="14.4" x14ac:dyDescent="0.3">
      <c r="A99" s="21">
        <v>73</v>
      </c>
      <c r="B99" s="14">
        <v>3133</v>
      </c>
      <c r="C99" s="12">
        <v>4.5999999046325701</v>
      </c>
      <c r="D99" s="12">
        <v>5</v>
      </c>
      <c r="E99" s="12">
        <v>4.4000000953674299</v>
      </c>
      <c r="F99" s="12">
        <v>5</v>
      </c>
      <c r="G99" s="12">
        <v>-7</v>
      </c>
      <c r="H99" s="13">
        <v>67</v>
      </c>
      <c r="I99">
        <v>6608.1856799999996</v>
      </c>
      <c r="J99">
        <v>0</v>
      </c>
      <c r="K99">
        <v>6608.1856799999996</v>
      </c>
      <c r="L99">
        <v>50776.286200000002</v>
      </c>
      <c r="M99">
        <v>0.32863999999999999</v>
      </c>
      <c r="N99">
        <v>50776.614840000002</v>
      </c>
      <c r="O99">
        <v>22900136.925840002</v>
      </c>
      <c r="P99">
        <v>13339.902080000002</v>
      </c>
      <c r="Q99">
        <v>22913476.827920001</v>
      </c>
      <c r="R99" s="13">
        <v>744</v>
      </c>
      <c r="S99" s="13">
        <v>0</v>
      </c>
      <c r="T99" s="13">
        <v>744</v>
      </c>
      <c r="U99" s="13">
        <v>0</v>
      </c>
    </row>
    <row r="100" spans="1:21" ht="14.4" x14ac:dyDescent="0.3">
      <c r="A100" s="21">
        <v>74</v>
      </c>
      <c r="B100" s="14">
        <v>3134</v>
      </c>
      <c r="C100" s="12">
        <v>4.5999999046325701</v>
      </c>
      <c r="D100" s="12"/>
      <c r="E100" s="12">
        <v>4.4000000953674299</v>
      </c>
      <c r="F100" s="12">
        <v>-2</v>
      </c>
      <c r="G100" s="12">
        <v>-7</v>
      </c>
      <c r="H100" s="13">
        <v>78</v>
      </c>
      <c r="I100">
        <v>7595.8183999999992</v>
      </c>
      <c r="J100">
        <v>0</v>
      </c>
      <c r="K100">
        <v>7595.8183999999992</v>
      </c>
      <c r="L100">
        <v>36411.678280000007</v>
      </c>
      <c r="M100">
        <v>0.34128000000000003</v>
      </c>
      <c r="N100">
        <v>36412.019560000001</v>
      </c>
      <c r="O100">
        <v>18933312.861480001</v>
      </c>
      <c r="P100">
        <v>21027.774440000001</v>
      </c>
      <c r="Q100">
        <v>18954340.635919999</v>
      </c>
      <c r="R100" s="13">
        <v>744</v>
      </c>
      <c r="S100" s="13">
        <v>0</v>
      </c>
      <c r="T100" s="13">
        <v>744</v>
      </c>
      <c r="U100" s="13">
        <v>0</v>
      </c>
    </row>
    <row r="101" spans="1:21" ht="14.4" x14ac:dyDescent="0.3">
      <c r="A101" s="21">
        <v>75</v>
      </c>
      <c r="B101" s="14">
        <v>3136</v>
      </c>
      <c r="C101" s="12">
        <v>4.5999999046325701</v>
      </c>
      <c r="D101" s="12">
        <v>5</v>
      </c>
      <c r="E101" s="12">
        <v>4.4000000953674299</v>
      </c>
      <c r="F101" s="12">
        <v>4</v>
      </c>
      <c r="G101" s="12">
        <v>-7</v>
      </c>
      <c r="H101" s="13">
        <v>101</v>
      </c>
      <c r="I101">
        <v>9889.0619999999999</v>
      </c>
      <c r="J101">
        <v>0</v>
      </c>
      <c r="K101">
        <v>9889.0619999999999</v>
      </c>
      <c r="L101">
        <v>46298.518800000005</v>
      </c>
      <c r="M101">
        <v>0</v>
      </c>
      <c r="N101">
        <v>46298.518800000005</v>
      </c>
      <c r="O101">
        <v>21202175.630000003</v>
      </c>
      <c r="P101">
        <v>25354.241040000001</v>
      </c>
      <c r="Q101">
        <v>21227529.871040002</v>
      </c>
      <c r="R101" s="13">
        <v>744</v>
      </c>
      <c r="S101" s="13">
        <v>0</v>
      </c>
      <c r="T101" s="13">
        <v>744</v>
      </c>
      <c r="U101" s="13">
        <v>0</v>
      </c>
    </row>
    <row r="102" spans="1:21" ht="14.4" x14ac:dyDescent="0.3">
      <c r="A102" s="21">
        <v>76</v>
      </c>
      <c r="B102" s="14">
        <v>3137</v>
      </c>
      <c r="C102" s="12">
        <v>4.5999999046325701</v>
      </c>
      <c r="D102" s="12">
        <v>5</v>
      </c>
      <c r="E102" s="12">
        <v>4.4000000953674299</v>
      </c>
      <c r="F102" s="12">
        <v>-2</v>
      </c>
      <c r="G102" s="12">
        <v>-7</v>
      </c>
      <c r="H102" s="13">
        <v>40</v>
      </c>
      <c r="I102">
        <v>3904.8815199999999</v>
      </c>
      <c r="J102">
        <v>0</v>
      </c>
      <c r="K102">
        <v>3904.8815199999999</v>
      </c>
      <c r="L102">
        <v>32270.305519999998</v>
      </c>
      <c r="M102">
        <v>0</v>
      </c>
      <c r="N102">
        <v>32270.305519999998</v>
      </c>
      <c r="O102">
        <v>20206683.03884</v>
      </c>
      <c r="P102">
        <v>8842.9282000000003</v>
      </c>
      <c r="Q102">
        <v>20215525.967039999</v>
      </c>
      <c r="R102" s="13">
        <v>744</v>
      </c>
      <c r="S102" s="13">
        <v>0</v>
      </c>
      <c r="T102" s="13">
        <v>744</v>
      </c>
      <c r="U102" s="13">
        <v>0</v>
      </c>
    </row>
    <row r="103" spans="1:21" ht="14.4" x14ac:dyDescent="0.3">
      <c r="A103" s="21">
        <v>77</v>
      </c>
      <c r="B103" s="14">
        <v>3138</v>
      </c>
      <c r="C103" s="12">
        <v>4.5999999046325701</v>
      </c>
      <c r="D103" s="12">
        <v>5</v>
      </c>
      <c r="E103" s="12">
        <v>4.4000000953674299</v>
      </c>
      <c r="F103" s="12">
        <v>-10</v>
      </c>
      <c r="G103" s="12">
        <v>-7</v>
      </c>
      <c r="H103" s="13">
        <v>65</v>
      </c>
      <c r="I103">
        <v>6328.9017200000008</v>
      </c>
      <c r="J103">
        <v>0</v>
      </c>
      <c r="K103">
        <v>6328.9017200000008</v>
      </c>
      <c r="L103">
        <v>48455.174559999999</v>
      </c>
      <c r="M103">
        <v>67.835719999999995</v>
      </c>
      <c r="N103">
        <v>48523.010280000002</v>
      </c>
      <c r="O103">
        <v>20670490.433559999</v>
      </c>
      <c r="P103">
        <v>11069.65696</v>
      </c>
      <c r="Q103">
        <v>20681560.090520002</v>
      </c>
      <c r="R103" s="13">
        <v>744</v>
      </c>
      <c r="S103" s="13">
        <v>0</v>
      </c>
      <c r="T103" s="13">
        <v>744</v>
      </c>
      <c r="U103" s="13">
        <v>0</v>
      </c>
    </row>
    <row r="104" spans="1:21" ht="14.4" x14ac:dyDescent="0.3">
      <c r="A104" s="21">
        <v>78</v>
      </c>
      <c r="B104" s="14">
        <v>3139</v>
      </c>
      <c r="C104" s="12">
        <v>4.5999999046325701</v>
      </c>
      <c r="D104" s="12">
        <v>5</v>
      </c>
      <c r="E104" s="12">
        <v>4.4000000953674299</v>
      </c>
      <c r="F104" s="12">
        <v>4</v>
      </c>
      <c r="G104" s="12">
        <v>-7</v>
      </c>
      <c r="H104" s="13">
        <v>88</v>
      </c>
      <c r="I104">
        <v>8646.4394000000011</v>
      </c>
      <c r="J104">
        <v>0</v>
      </c>
      <c r="K104">
        <v>8646.4394000000011</v>
      </c>
      <c r="L104">
        <v>73621.67052</v>
      </c>
      <c r="M104">
        <v>0</v>
      </c>
      <c r="N104">
        <v>73621.67052</v>
      </c>
      <c r="O104">
        <v>23502538.943840001</v>
      </c>
      <c r="P104">
        <v>18076.530360000001</v>
      </c>
      <c r="Q104">
        <v>23520615.474200003</v>
      </c>
      <c r="R104" s="13">
        <v>744</v>
      </c>
      <c r="S104" s="13">
        <v>0</v>
      </c>
      <c r="T104" s="13">
        <v>744</v>
      </c>
      <c r="U104" s="13">
        <v>0</v>
      </c>
    </row>
    <row r="105" spans="1:21" ht="14.4" x14ac:dyDescent="0.3">
      <c r="A105" s="21">
        <v>79</v>
      </c>
      <c r="B105" s="14">
        <v>3140</v>
      </c>
      <c r="C105" s="12">
        <v>4.5999999046325701</v>
      </c>
      <c r="D105" s="12">
        <v>5</v>
      </c>
      <c r="E105" s="12">
        <v>4.4000000953674299</v>
      </c>
      <c r="F105" s="12">
        <v>-10</v>
      </c>
      <c r="G105" s="12">
        <v>-7</v>
      </c>
      <c r="H105" s="13">
        <v>31</v>
      </c>
      <c r="I105">
        <v>3072.0255999999999</v>
      </c>
      <c r="J105">
        <v>0</v>
      </c>
      <c r="K105">
        <v>3072.0255999999999</v>
      </c>
      <c r="L105">
        <v>24799.098560000002</v>
      </c>
      <c r="M105">
        <v>0</v>
      </c>
      <c r="N105">
        <v>24799.098560000002</v>
      </c>
      <c r="O105">
        <v>21733127.371479999</v>
      </c>
      <c r="P105">
        <v>10825.951440000001</v>
      </c>
      <c r="Q105">
        <v>21743953.322920002</v>
      </c>
      <c r="R105" s="13">
        <v>744</v>
      </c>
      <c r="S105" s="13">
        <v>0</v>
      </c>
      <c r="T105" s="13">
        <v>744</v>
      </c>
      <c r="U105" s="13">
        <v>0</v>
      </c>
    </row>
    <row r="106" spans="1:21" x14ac:dyDescent="0.25">
      <c r="A106" t="s">
        <v>28</v>
      </c>
      <c r="B106" s="14"/>
      <c r="C106" s="12"/>
      <c r="D106" s="12"/>
      <c r="E106" s="12"/>
      <c r="F106" s="12"/>
      <c r="G106" s="12"/>
      <c r="H106" s="13"/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3"/>
      <c r="S106" s="13"/>
      <c r="T106" s="13"/>
      <c r="U106" s="13"/>
    </row>
    <row r="107" spans="1:21" ht="14.4" x14ac:dyDescent="0.3">
      <c r="A107" s="21">
        <v>80</v>
      </c>
      <c r="B107" s="14">
        <v>2163</v>
      </c>
      <c r="C107" s="12">
        <v>10</v>
      </c>
      <c r="D107" s="12">
        <v>8</v>
      </c>
      <c r="E107" s="12">
        <v>4.3000001907348597</v>
      </c>
      <c r="F107" s="12">
        <v>-5</v>
      </c>
      <c r="G107" s="12">
        <v>-15</v>
      </c>
      <c r="H107" s="13">
        <v>33</v>
      </c>
      <c r="I107">
        <v>103.67960000000001</v>
      </c>
      <c r="J107">
        <v>0</v>
      </c>
      <c r="K107">
        <v>103.67960000000001</v>
      </c>
      <c r="L107">
        <v>28472.146680000002</v>
      </c>
      <c r="M107">
        <v>51.820840000000004</v>
      </c>
      <c r="N107">
        <v>28523.967520000002</v>
      </c>
      <c r="O107">
        <v>2036101.04584</v>
      </c>
      <c r="P107">
        <v>174.19816</v>
      </c>
      <c r="Q107">
        <v>2036275.2440000002</v>
      </c>
      <c r="R107" s="13">
        <v>24</v>
      </c>
      <c r="S107" s="13">
        <v>720</v>
      </c>
      <c r="T107" s="13">
        <v>744</v>
      </c>
      <c r="U107" s="13">
        <v>6</v>
      </c>
    </row>
    <row r="108" spans="1:21" ht="9" customHeight="1" x14ac:dyDescent="0.25">
      <c r="A108"/>
      <c r="B108" s="14"/>
      <c r="C108" s="12"/>
      <c r="D108" s="12"/>
      <c r="E108" s="12"/>
      <c r="F108" s="12"/>
      <c r="G108" s="12"/>
      <c r="H108" s="13"/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3"/>
      <c r="S108" s="13"/>
      <c r="T108" s="13"/>
      <c r="U108" s="13"/>
    </row>
    <row r="109" spans="1:21" ht="14.4" x14ac:dyDescent="0.3">
      <c r="A109" s="21">
        <v>81</v>
      </c>
      <c r="B109" s="14">
        <v>3010</v>
      </c>
      <c r="C109" s="12">
        <v>4.5999999046325701</v>
      </c>
      <c r="D109" s="12">
        <v>5</v>
      </c>
      <c r="E109" s="12">
        <v>4.4000000953674299</v>
      </c>
      <c r="F109" s="12">
        <v>-5</v>
      </c>
      <c r="G109" s="12">
        <v>-13</v>
      </c>
      <c r="H109" s="13">
        <v>45</v>
      </c>
      <c r="I109">
        <v>140.73060000000001</v>
      </c>
      <c r="J109">
        <v>0</v>
      </c>
      <c r="K109">
        <v>140.73060000000001</v>
      </c>
      <c r="L109">
        <v>7298.7341600000009</v>
      </c>
      <c r="M109">
        <v>0</v>
      </c>
      <c r="N109">
        <v>7298.7341600000009</v>
      </c>
      <c r="O109">
        <v>12189274.382760001</v>
      </c>
      <c r="P109">
        <v>8839.0730000000003</v>
      </c>
      <c r="Q109">
        <v>12198113.45576</v>
      </c>
      <c r="R109" s="13">
        <v>24</v>
      </c>
      <c r="S109" s="13">
        <v>720</v>
      </c>
      <c r="T109" s="13">
        <v>744</v>
      </c>
      <c r="U109" s="13">
        <v>6</v>
      </c>
    </row>
    <row r="110" spans="1:21" ht="9" customHeight="1" x14ac:dyDescent="0.25">
      <c r="A110"/>
      <c r="B110" s="14"/>
      <c r="C110" s="12"/>
      <c r="D110" s="12"/>
      <c r="E110" s="12"/>
      <c r="F110" s="12"/>
      <c r="G110" s="12"/>
      <c r="H110" s="13"/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3"/>
      <c r="S110" s="13"/>
      <c r="T110" s="13"/>
      <c r="U110" s="13"/>
    </row>
    <row r="111" spans="1:21" ht="14.4" x14ac:dyDescent="0.3">
      <c r="A111" s="21">
        <v>82</v>
      </c>
      <c r="B111" s="14">
        <v>3016</v>
      </c>
      <c r="C111" s="12">
        <v>4.5999999046325701</v>
      </c>
      <c r="D111" s="12">
        <v>5</v>
      </c>
      <c r="E111" s="12">
        <v>4.3000001907348597</v>
      </c>
      <c r="F111" s="12">
        <v>-5</v>
      </c>
      <c r="G111" s="12">
        <v>-1</v>
      </c>
      <c r="H111" s="13">
        <v>23</v>
      </c>
      <c r="I111">
        <v>72.822200000000009</v>
      </c>
      <c r="J111">
        <v>0</v>
      </c>
      <c r="K111">
        <v>72.822200000000009</v>
      </c>
      <c r="L111">
        <v>4968.7460799999999</v>
      </c>
      <c r="M111">
        <v>0.49612000000000001</v>
      </c>
      <c r="N111">
        <v>4969.2422000000006</v>
      </c>
      <c r="O111">
        <v>17404040.417320002</v>
      </c>
      <c r="P111">
        <v>9240.6521200000007</v>
      </c>
      <c r="Q111">
        <v>17413281.06944</v>
      </c>
      <c r="R111" s="13">
        <v>24</v>
      </c>
      <c r="S111" s="13">
        <v>720</v>
      </c>
      <c r="T111" s="13">
        <v>744</v>
      </c>
      <c r="U111" s="13">
        <v>6</v>
      </c>
    </row>
    <row r="112" spans="1:21" ht="9" customHeight="1" x14ac:dyDescent="0.25">
      <c r="A112"/>
      <c r="B112" s="14"/>
      <c r="C112" s="12"/>
      <c r="D112" s="12"/>
      <c r="E112" s="12"/>
      <c r="F112" s="12"/>
      <c r="G112" s="12"/>
      <c r="H112" s="13"/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3"/>
      <c r="S112" s="13"/>
      <c r="T112" s="13"/>
      <c r="U112" s="13"/>
    </row>
    <row r="113" spans="1:21" ht="14.4" x14ac:dyDescent="0.3">
      <c r="A113" s="21">
        <v>83</v>
      </c>
      <c r="B113" s="14">
        <v>3037</v>
      </c>
      <c r="C113" s="12">
        <v>4.5</v>
      </c>
      <c r="D113" s="12"/>
      <c r="E113" s="12">
        <v>4.3000001907348597</v>
      </c>
      <c r="F113" s="12">
        <v>-5</v>
      </c>
      <c r="G113" s="12">
        <v>-1.4</v>
      </c>
      <c r="H113" s="13">
        <v>58</v>
      </c>
      <c r="I113">
        <v>183.76348000000002</v>
      </c>
      <c r="J113">
        <v>0</v>
      </c>
      <c r="K113">
        <v>183.76348000000002</v>
      </c>
      <c r="L113">
        <v>26304.648959999999</v>
      </c>
      <c r="M113">
        <v>0.33495999999999998</v>
      </c>
      <c r="N113">
        <v>26304.983919999999</v>
      </c>
      <c r="O113">
        <v>19252229.623640001</v>
      </c>
      <c r="P113">
        <v>11813.581</v>
      </c>
      <c r="Q113">
        <v>19264043.204640001</v>
      </c>
      <c r="R113" s="13">
        <v>24</v>
      </c>
      <c r="S113" s="13">
        <v>720</v>
      </c>
      <c r="T113" s="13">
        <v>744</v>
      </c>
      <c r="U113" s="13">
        <v>6</v>
      </c>
    </row>
    <row r="114" spans="1:21" ht="9" customHeight="1" x14ac:dyDescent="0.25">
      <c r="A114"/>
      <c r="B114" s="14"/>
      <c r="C114" s="12"/>
      <c r="D114" s="12"/>
      <c r="E114" s="12"/>
      <c r="F114" s="12"/>
      <c r="G114" s="12"/>
      <c r="H114" s="13"/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3"/>
      <c r="S114" s="13"/>
      <c r="T114" s="13"/>
      <c r="U114" s="13"/>
    </row>
    <row r="115" spans="1:21" ht="14.4" x14ac:dyDescent="0.3">
      <c r="A115" s="21">
        <v>84</v>
      </c>
      <c r="B115" s="14">
        <v>1254</v>
      </c>
      <c r="C115" s="12">
        <v>4.5</v>
      </c>
      <c r="D115" s="12"/>
      <c r="E115" s="12">
        <v>4.3000001907348597</v>
      </c>
      <c r="F115" s="12">
        <v>-5</v>
      </c>
      <c r="G115" s="12">
        <v>-13</v>
      </c>
      <c r="H115" s="13">
        <v>28</v>
      </c>
      <c r="I115">
        <v>88.366240000000005</v>
      </c>
      <c r="J115">
        <v>0</v>
      </c>
      <c r="K115">
        <v>88.366240000000005</v>
      </c>
      <c r="L115">
        <v>357.44972000000001</v>
      </c>
      <c r="M115">
        <v>0.42028000000000004</v>
      </c>
      <c r="N115">
        <v>357.87</v>
      </c>
      <c r="O115">
        <v>15914119.213</v>
      </c>
      <c r="P115">
        <v>15174.582279999999</v>
      </c>
      <c r="Q115">
        <v>15929293.795280002</v>
      </c>
      <c r="R115" s="13">
        <v>24</v>
      </c>
      <c r="S115" s="13">
        <v>720</v>
      </c>
      <c r="T115" s="13">
        <v>744</v>
      </c>
      <c r="U115" s="13">
        <v>6</v>
      </c>
    </row>
    <row r="116" spans="1:21" ht="14.4" x14ac:dyDescent="0.3">
      <c r="A116" s="21">
        <v>85</v>
      </c>
      <c r="B116" s="14">
        <v>1255</v>
      </c>
      <c r="C116" s="12">
        <v>4.5</v>
      </c>
      <c r="D116" s="12"/>
      <c r="E116" s="12">
        <v>4.3000001907348597</v>
      </c>
      <c r="F116" s="12">
        <v>-5</v>
      </c>
      <c r="G116" s="12">
        <v>-13</v>
      </c>
      <c r="H116" s="13">
        <v>20</v>
      </c>
      <c r="I116">
        <v>63.794080000000001</v>
      </c>
      <c r="J116">
        <v>0</v>
      </c>
      <c r="K116">
        <v>63.794080000000001</v>
      </c>
      <c r="L116">
        <v>352.13460000000003</v>
      </c>
      <c r="M116">
        <v>0.33812000000000003</v>
      </c>
      <c r="N116">
        <v>352.47272000000004</v>
      </c>
      <c r="O116">
        <v>11582431.025840001</v>
      </c>
      <c r="P116">
        <v>6000.1890400000002</v>
      </c>
      <c r="Q116">
        <v>11588431.214880001</v>
      </c>
      <c r="R116" s="13">
        <v>24</v>
      </c>
      <c r="S116" s="13">
        <v>720</v>
      </c>
      <c r="T116" s="13">
        <v>744</v>
      </c>
      <c r="U116" s="13">
        <v>6</v>
      </c>
    </row>
    <row r="117" spans="1:21" ht="14.4" x14ac:dyDescent="0.3">
      <c r="A117" s="21">
        <v>86</v>
      </c>
      <c r="B117" s="14">
        <v>3054</v>
      </c>
      <c r="C117" s="12">
        <v>4.5</v>
      </c>
      <c r="D117" s="12">
        <v>5</v>
      </c>
      <c r="E117" s="12">
        <v>4.3000001907348597</v>
      </c>
      <c r="F117" s="12">
        <v>-5</v>
      </c>
      <c r="G117" s="12">
        <v>-13</v>
      </c>
      <c r="H117" s="13">
        <v>24</v>
      </c>
      <c r="I117">
        <v>74.904640000000001</v>
      </c>
      <c r="J117">
        <v>0</v>
      </c>
      <c r="K117">
        <v>74.904640000000001</v>
      </c>
      <c r="L117">
        <v>813.73159999999996</v>
      </c>
      <c r="M117">
        <v>0</v>
      </c>
      <c r="N117">
        <v>813.73159999999996</v>
      </c>
      <c r="O117">
        <v>20210785.32872</v>
      </c>
      <c r="P117">
        <v>13364.14876</v>
      </c>
      <c r="Q117">
        <v>20224149.477480002</v>
      </c>
      <c r="R117" s="13">
        <v>24</v>
      </c>
      <c r="S117" s="13">
        <v>720</v>
      </c>
      <c r="T117" s="13">
        <v>744</v>
      </c>
      <c r="U117" s="13">
        <v>6</v>
      </c>
    </row>
    <row r="118" spans="1:21" ht="9" customHeight="1" x14ac:dyDescent="0.25">
      <c r="A118"/>
      <c r="B118" s="14"/>
      <c r="C118" s="12"/>
      <c r="D118" s="12"/>
      <c r="E118" s="12"/>
      <c r="F118" s="12"/>
      <c r="G118" s="12"/>
      <c r="H118" s="13"/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3"/>
      <c r="S118" s="13"/>
      <c r="T118" s="13"/>
      <c r="U118" s="13"/>
    </row>
    <row r="119" spans="1:21" ht="14.4" x14ac:dyDescent="0.3">
      <c r="A119" s="21">
        <v>87</v>
      </c>
      <c r="B119" s="14">
        <v>3077</v>
      </c>
      <c r="C119" s="12">
        <v>4.5</v>
      </c>
      <c r="D119" s="12">
        <v>5</v>
      </c>
      <c r="E119" s="12">
        <v>4.3000001907348597</v>
      </c>
      <c r="F119" s="12">
        <v>-5</v>
      </c>
      <c r="G119" s="12">
        <v>-2</v>
      </c>
      <c r="H119" s="13">
        <v>56</v>
      </c>
      <c r="I119">
        <v>177.14644000000001</v>
      </c>
      <c r="J119">
        <v>0</v>
      </c>
      <c r="K119">
        <v>177.14644000000001</v>
      </c>
      <c r="L119">
        <v>42680.369360000004</v>
      </c>
      <c r="M119">
        <v>0</v>
      </c>
      <c r="N119">
        <v>42680.369360000004</v>
      </c>
      <c r="O119">
        <v>17334602.801680002</v>
      </c>
      <c r="P119">
        <v>10603.105080000001</v>
      </c>
      <c r="Q119">
        <v>17345205.90676</v>
      </c>
      <c r="R119" s="13">
        <v>24</v>
      </c>
      <c r="S119" s="13">
        <v>720</v>
      </c>
      <c r="T119" s="13">
        <v>744</v>
      </c>
      <c r="U119" s="13">
        <v>6</v>
      </c>
    </row>
    <row r="120" spans="1:21" ht="9" customHeight="1" x14ac:dyDescent="0.25">
      <c r="A120"/>
      <c r="B120" s="14"/>
      <c r="C120" s="12"/>
      <c r="D120" s="12"/>
      <c r="E120" s="12"/>
      <c r="F120" s="12"/>
      <c r="G120" s="12"/>
      <c r="H120" s="13"/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3"/>
      <c r="S120" s="13"/>
      <c r="T120" s="13"/>
      <c r="U120" s="13"/>
    </row>
    <row r="121" spans="1:21" ht="14.4" x14ac:dyDescent="0.3">
      <c r="A121" s="21">
        <v>88</v>
      </c>
      <c r="B121" s="14">
        <v>3099</v>
      </c>
      <c r="C121" s="12">
        <v>4.5</v>
      </c>
      <c r="D121" s="12"/>
      <c r="E121" s="12">
        <v>4.3000001907348597</v>
      </c>
      <c r="F121" s="12">
        <v>-5</v>
      </c>
      <c r="G121" s="12">
        <v>-14</v>
      </c>
      <c r="H121" s="13">
        <v>38</v>
      </c>
      <c r="I121">
        <v>119.72608</v>
      </c>
      <c r="J121">
        <v>0</v>
      </c>
      <c r="K121">
        <v>119.72608</v>
      </c>
      <c r="L121">
        <v>22298.814920000001</v>
      </c>
      <c r="M121">
        <v>0</v>
      </c>
      <c r="N121">
        <v>22298.814920000001</v>
      </c>
      <c r="O121">
        <v>22290240.534920003</v>
      </c>
      <c r="P121">
        <v>18769.954440000001</v>
      </c>
      <c r="Q121">
        <v>22309010.489360001</v>
      </c>
      <c r="R121" s="13">
        <v>24</v>
      </c>
      <c r="S121" s="13">
        <v>720</v>
      </c>
      <c r="T121" s="13">
        <v>744</v>
      </c>
      <c r="U121" s="13">
        <v>6</v>
      </c>
    </row>
    <row r="122" spans="1:21" ht="9" customHeight="1" x14ac:dyDescent="0.25">
      <c r="A122"/>
      <c r="B122" s="14"/>
      <c r="C122" s="12"/>
      <c r="D122" s="12"/>
      <c r="E122" s="12"/>
      <c r="F122" s="12"/>
      <c r="G122" s="12"/>
      <c r="H122" s="13"/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3"/>
      <c r="S122" s="13"/>
      <c r="T122" s="13"/>
      <c r="U122" s="13"/>
    </row>
    <row r="123" spans="1:21" ht="14.4" x14ac:dyDescent="0.3">
      <c r="A123" s="21">
        <v>89</v>
      </c>
      <c r="B123" s="14">
        <v>3116</v>
      </c>
      <c r="C123" s="12">
        <v>4.5</v>
      </c>
      <c r="D123" s="12">
        <v>5</v>
      </c>
      <c r="E123" s="12">
        <v>4.3000001907348597</v>
      </c>
      <c r="F123" s="12">
        <v>-5</v>
      </c>
      <c r="G123" s="12">
        <v>-17</v>
      </c>
      <c r="H123" s="13">
        <v>23</v>
      </c>
      <c r="I123">
        <v>73.463680000000011</v>
      </c>
      <c r="J123">
        <v>0</v>
      </c>
      <c r="K123">
        <v>73.463680000000011</v>
      </c>
      <c r="L123">
        <v>4051.9258000000004</v>
      </c>
      <c r="M123">
        <v>0.10112</v>
      </c>
      <c r="N123">
        <v>4052.0269200000002</v>
      </c>
      <c r="O123">
        <v>20903971.874680001</v>
      </c>
      <c r="P123">
        <v>10433.368840000001</v>
      </c>
      <c r="Q123">
        <v>20914405.243520003</v>
      </c>
      <c r="R123" s="13">
        <v>24</v>
      </c>
      <c r="S123" s="13">
        <v>720</v>
      </c>
      <c r="T123" s="13">
        <v>744</v>
      </c>
      <c r="U123" s="13">
        <v>6</v>
      </c>
    </row>
    <row r="124" spans="1:21" ht="9" customHeight="1" x14ac:dyDescent="0.25">
      <c r="A124"/>
      <c r="B124" s="14"/>
      <c r="C124" s="12"/>
      <c r="D124" s="12"/>
      <c r="E124" s="12"/>
      <c r="F124" s="12"/>
      <c r="G124" s="12"/>
      <c r="H124" s="13"/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3"/>
      <c r="S124" s="13"/>
      <c r="T124" s="13"/>
      <c r="U124" s="13"/>
    </row>
    <row r="125" spans="1:21" ht="14.4" x14ac:dyDescent="0.3">
      <c r="A125" s="21">
        <v>90</v>
      </c>
      <c r="B125" s="14">
        <v>3122</v>
      </c>
      <c r="C125" s="12">
        <v>4.5</v>
      </c>
      <c r="D125" s="12"/>
      <c r="E125" s="12">
        <v>4.4000000953674299</v>
      </c>
      <c r="F125" s="12">
        <v>3</v>
      </c>
      <c r="G125" s="12">
        <v>-12.5</v>
      </c>
      <c r="H125" s="13">
        <v>54</v>
      </c>
      <c r="I125">
        <v>5247.1420800000005</v>
      </c>
      <c r="J125">
        <v>56.007840000000002</v>
      </c>
      <c r="K125">
        <v>5303.1499199999998</v>
      </c>
      <c r="L125">
        <v>43696.786520000001</v>
      </c>
      <c r="M125">
        <v>199.19059999999999</v>
      </c>
      <c r="N125">
        <v>43895.977120000003</v>
      </c>
      <c r="O125">
        <v>15288379.02448</v>
      </c>
      <c r="P125">
        <v>12221.78032</v>
      </c>
      <c r="Q125">
        <v>15300600.804800002</v>
      </c>
      <c r="R125" s="13">
        <v>735</v>
      </c>
      <c r="S125" s="13">
        <v>9</v>
      </c>
      <c r="T125" s="13">
        <v>744</v>
      </c>
      <c r="U125" s="13">
        <v>1</v>
      </c>
    </row>
    <row r="126" spans="1:21" ht="14.4" x14ac:dyDescent="0.3">
      <c r="A126" s="21">
        <v>91</v>
      </c>
      <c r="B126" s="14">
        <v>3128</v>
      </c>
      <c r="C126" s="12">
        <v>4.5</v>
      </c>
      <c r="D126" s="12">
        <v>5</v>
      </c>
      <c r="E126" s="12">
        <v>4.4000000953674299</v>
      </c>
      <c r="F126" s="12">
        <v>-5</v>
      </c>
      <c r="G126" s="12">
        <v>-12.5</v>
      </c>
      <c r="H126" s="13">
        <v>51</v>
      </c>
      <c r="I126">
        <v>405.35531999999995</v>
      </c>
      <c r="J126">
        <v>120.001</v>
      </c>
      <c r="K126">
        <v>525.3563200000001</v>
      </c>
      <c r="L126">
        <v>15451.954440000001</v>
      </c>
      <c r="M126">
        <v>127.54392000000001</v>
      </c>
      <c r="N126">
        <v>15579.49836</v>
      </c>
      <c r="O126">
        <v>21426014.4038</v>
      </c>
      <c r="P126">
        <v>16013.3158</v>
      </c>
      <c r="Q126">
        <v>21442027.719599999</v>
      </c>
      <c r="R126" s="13">
        <v>60</v>
      </c>
      <c r="S126" s="13">
        <v>684</v>
      </c>
      <c r="T126" s="13">
        <v>744</v>
      </c>
      <c r="U126" s="13">
        <v>7</v>
      </c>
    </row>
    <row r="127" spans="1:21" ht="14.4" x14ac:dyDescent="0.3">
      <c r="A127" s="21">
        <v>92</v>
      </c>
      <c r="B127" s="14">
        <v>3130</v>
      </c>
      <c r="C127" s="12">
        <v>4.5</v>
      </c>
      <c r="D127" s="12">
        <v>5</v>
      </c>
      <c r="E127" s="12">
        <v>4.4000000953674299</v>
      </c>
      <c r="F127" s="12">
        <v>-5</v>
      </c>
      <c r="G127" s="12">
        <v>-12.5</v>
      </c>
      <c r="H127" s="13">
        <v>21</v>
      </c>
      <c r="I127">
        <v>67.317480000000003</v>
      </c>
      <c r="J127">
        <v>0</v>
      </c>
      <c r="K127">
        <v>67.317480000000003</v>
      </c>
      <c r="L127">
        <v>2940.2852000000003</v>
      </c>
      <c r="M127">
        <v>0</v>
      </c>
      <c r="N127">
        <v>2940.2852000000003</v>
      </c>
      <c r="O127">
        <v>18574749.092960004</v>
      </c>
      <c r="P127">
        <v>20727.220520000003</v>
      </c>
      <c r="Q127">
        <v>18595476.313480001</v>
      </c>
      <c r="R127" s="13">
        <v>24</v>
      </c>
      <c r="S127" s="13">
        <v>720</v>
      </c>
      <c r="T127" s="13">
        <v>744</v>
      </c>
      <c r="U127" s="13">
        <v>6</v>
      </c>
    </row>
    <row r="128" spans="1:21" ht="9" customHeight="1" x14ac:dyDescent="0.25">
      <c r="A128"/>
      <c r="B128" s="14"/>
      <c r="C128" s="12"/>
      <c r="D128" s="12"/>
      <c r="E128" s="12"/>
      <c r="F128" s="12"/>
      <c r="G128" s="12"/>
      <c r="H128" s="13"/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3"/>
      <c r="S128" s="13"/>
      <c r="T128" s="13"/>
      <c r="U128" s="13"/>
    </row>
    <row r="129" spans="1:21" ht="14.4" x14ac:dyDescent="0.3">
      <c r="A129" s="21">
        <v>93</v>
      </c>
      <c r="B129" s="14">
        <v>3135</v>
      </c>
      <c r="C129" s="12">
        <v>4.5999999046325701</v>
      </c>
      <c r="D129" s="12"/>
      <c r="E129" s="12">
        <v>4.4000000953674299</v>
      </c>
      <c r="F129" s="12">
        <v>-5</v>
      </c>
      <c r="G129" s="12">
        <v>-7</v>
      </c>
      <c r="H129" s="13">
        <v>25</v>
      </c>
      <c r="I129">
        <v>79.496120000000005</v>
      </c>
      <c r="J129">
        <v>0</v>
      </c>
      <c r="K129">
        <v>79.496120000000005</v>
      </c>
      <c r="L129">
        <v>4833.2610800000002</v>
      </c>
      <c r="M129">
        <v>13.205640000000001</v>
      </c>
      <c r="N129">
        <v>4846.4667200000004</v>
      </c>
      <c r="O129">
        <v>16847380.243040003</v>
      </c>
      <c r="P129">
        <v>5954.0783200000005</v>
      </c>
      <c r="Q129">
        <v>16853334.321359999</v>
      </c>
      <c r="R129" s="13">
        <v>24</v>
      </c>
      <c r="S129" s="13">
        <v>720</v>
      </c>
      <c r="T129" s="13">
        <v>744</v>
      </c>
      <c r="U129" s="13">
        <v>6</v>
      </c>
    </row>
    <row r="130" spans="1:21" x14ac:dyDescent="0.25">
      <c r="A130" t="s">
        <v>29</v>
      </c>
      <c r="B130" s="14"/>
      <c r="C130" s="12"/>
      <c r="D130" s="12"/>
      <c r="E130" s="12"/>
      <c r="F130" s="12"/>
      <c r="G130" s="12"/>
      <c r="H130" s="13"/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3"/>
      <c r="S130" s="13"/>
      <c r="T130" s="13"/>
      <c r="U130" s="13"/>
    </row>
    <row r="131" spans="1:21" ht="14.4" x14ac:dyDescent="0.3">
      <c r="A131" s="21">
        <v>94</v>
      </c>
      <c r="B131" s="14">
        <v>2164</v>
      </c>
      <c r="C131" s="12"/>
      <c r="D131" s="12"/>
      <c r="E131" s="12">
        <v>4.3000001907348597</v>
      </c>
      <c r="F131" s="12" t="s">
        <v>30</v>
      </c>
      <c r="G131" s="12">
        <v>-15</v>
      </c>
      <c r="H131" s="13">
        <v>0</v>
      </c>
      <c r="I131"/>
      <c r="J131"/>
      <c r="K131"/>
      <c r="L131"/>
      <c r="M131"/>
      <c r="N131"/>
      <c r="O131">
        <v>1052026.0450200001</v>
      </c>
      <c r="P131">
        <v>105.08580000000001</v>
      </c>
      <c r="Q131">
        <v>1052131.1308200001</v>
      </c>
      <c r="R131" s="13">
        <v>0</v>
      </c>
      <c r="S131" s="13">
        <v>0</v>
      </c>
      <c r="T131" s="13">
        <v>0</v>
      </c>
      <c r="U131" s="13">
        <v>0</v>
      </c>
    </row>
    <row r="132" spans="1:21" ht="9" customHeight="1" x14ac:dyDescent="0.25">
      <c r="A132"/>
      <c r="B132" s="14"/>
      <c r="C132" s="12"/>
      <c r="D132" s="12"/>
      <c r="E132" s="12"/>
      <c r="F132" s="12"/>
      <c r="G132" s="12"/>
      <c r="H132" s="13"/>
      <c r="I132"/>
      <c r="J132"/>
      <c r="K132"/>
      <c r="L132"/>
      <c r="M132"/>
      <c r="N132"/>
      <c r="O132">
        <v>0</v>
      </c>
      <c r="P132">
        <v>0</v>
      </c>
      <c r="Q132">
        <v>0</v>
      </c>
      <c r="R132" s="13"/>
      <c r="S132" s="13"/>
      <c r="T132" s="13"/>
      <c r="U132" s="13"/>
    </row>
    <row r="133" spans="1:21" ht="14.4" x14ac:dyDescent="0.3">
      <c r="A133" s="21">
        <v>95</v>
      </c>
      <c r="B133" s="14">
        <v>358</v>
      </c>
      <c r="C133" s="12"/>
      <c r="D133" s="12"/>
      <c r="E133" s="12">
        <v>4.3000001907348597</v>
      </c>
      <c r="F133" s="12" t="s">
        <v>30</v>
      </c>
      <c r="G133" s="12">
        <v>-13</v>
      </c>
      <c r="H133" s="13">
        <v>0</v>
      </c>
      <c r="I133"/>
      <c r="J133"/>
      <c r="K133"/>
      <c r="L133"/>
      <c r="M133"/>
      <c r="N133"/>
      <c r="O133">
        <v>4874635.3186600003</v>
      </c>
      <c r="P133">
        <v>3137.5513599999999</v>
      </c>
      <c r="Q133">
        <v>4877772.8700200003</v>
      </c>
      <c r="R133" s="13">
        <v>0</v>
      </c>
      <c r="S133" s="13">
        <v>0</v>
      </c>
      <c r="T133" s="13">
        <v>0</v>
      </c>
      <c r="U133" s="13">
        <v>0</v>
      </c>
    </row>
    <row r="134" spans="1:21" ht="9" customHeight="1" x14ac:dyDescent="0.25">
      <c r="A134"/>
      <c r="B134" s="14"/>
      <c r="C134" s="12"/>
      <c r="D134" s="12"/>
      <c r="E134" s="12"/>
      <c r="F134" s="12"/>
      <c r="G134" s="12"/>
      <c r="H134" s="13"/>
      <c r="I134"/>
      <c r="J134"/>
      <c r="K134"/>
      <c r="L134"/>
      <c r="M134"/>
      <c r="N134"/>
      <c r="O134">
        <v>0</v>
      </c>
      <c r="P134">
        <v>0</v>
      </c>
      <c r="Q134">
        <v>0</v>
      </c>
      <c r="R134" s="13"/>
      <c r="S134" s="13"/>
      <c r="T134" s="13"/>
      <c r="U134" s="13"/>
    </row>
    <row r="135" spans="1:21" ht="14.4" x14ac:dyDescent="0.3">
      <c r="A135" s="21">
        <v>96</v>
      </c>
      <c r="B135" s="14">
        <v>2175</v>
      </c>
      <c r="C135" s="12"/>
      <c r="D135" s="12"/>
      <c r="E135" s="12">
        <v>4.4000000953674299</v>
      </c>
      <c r="F135" s="12" t="s">
        <v>30</v>
      </c>
      <c r="G135" s="12">
        <v>0.8</v>
      </c>
      <c r="H135" s="13">
        <v>0</v>
      </c>
      <c r="I135"/>
      <c r="J135"/>
      <c r="K135"/>
      <c r="L135"/>
      <c r="M135"/>
      <c r="N135"/>
      <c r="O135">
        <v>7346429.7353400001</v>
      </c>
      <c r="P135">
        <v>5956.7579999999998</v>
      </c>
      <c r="Q135">
        <v>7352386.4933400014</v>
      </c>
      <c r="R135" s="13">
        <v>0</v>
      </c>
      <c r="S135" s="13">
        <v>0</v>
      </c>
      <c r="T135" s="13">
        <v>0</v>
      </c>
      <c r="U135" s="13">
        <v>0</v>
      </c>
    </row>
    <row r="136" spans="1:21" ht="9" customHeight="1" x14ac:dyDescent="0.25">
      <c r="A136"/>
      <c r="B136" s="14"/>
      <c r="C136" s="12"/>
      <c r="D136" s="12"/>
      <c r="E136" s="12"/>
      <c r="F136" s="12"/>
      <c r="G136" s="12"/>
      <c r="H136" s="13"/>
      <c r="I136"/>
      <c r="J136"/>
      <c r="K136"/>
      <c r="L136"/>
      <c r="M136"/>
      <c r="N136"/>
      <c r="O136">
        <v>0</v>
      </c>
      <c r="P136">
        <v>0</v>
      </c>
      <c r="Q136">
        <v>0</v>
      </c>
      <c r="R136" s="13"/>
      <c r="S136" s="13"/>
      <c r="T136" s="13"/>
      <c r="U136" s="13"/>
    </row>
    <row r="137" spans="1:21" ht="14.4" x14ac:dyDescent="0.3">
      <c r="A137" s="21">
        <v>97</v>
      </c>
      <c r="B137" s="14">
        <v>2219</v>
      </c>
      <c r="C137" s="12"/>
      <c r="D137" s="12"/>
      <c r="E137" s="12">
        <v>4.3000001907348597</v>
      </c>
      <c r="F137" s="12" t="s">
        <v>30</v>
      </c>
      <c r="G137" s="12">
        <v>-17</v>
      </c>
      <c r="H137" s="13">
        <v>0</v>
      </c>
      <c r="I137"/>
      <c r="J137"/>
      <c r="K137"/>
      <c r="L137"/>
      <c r="M137"/>
      <c r="N137"/>
      <c r="O137">
        <v>8147968.192520001</v>
      </c>
      <c r="P137">
        <v>6817.7000000000007</v>
      </c>
      <c r="Q137">
        <v>8154785.8925200012</v>
      </c>
      <c r="R137" s="13">
        <v>0</v>
      </c>
      <c r="S137" s="13">
        <v>0</v>
      </c>
      <c r="T137" s="13">
        <v>0</v>
      </c>
      <c r="U137" s="13">
        <v>0</v>
      </c>
    </row>
    <row r="138" spans="1:21" ht="14.4" x14ac:dyDescent="0.3">
      <c r="A138" s="21">
        <v>98</v>
      </c>
      <c r="B138" s="14">
        <v>2224</v>
      </c>
      <c r="C138" s="12"/>
      <c r="D138" s="12"/>
      <c r="E138" s="12">
        <v>4.3000001907348597</v>
      </c>
      <c r="F138" s="12" t="s">
        <v>30</v>
      </c>
      <c r="G138" s="12">
        <v>-17</v>
      </c>
      <c r="H138" s="13">
        <v>0</v>
      </c>
      <c r="I138"/>
      <c r="J138"/>
      <c r="K138"/>
      <c r="L138"/>
      <c r="M138"/>
      <c r="N138"/>
      <c r="O138">
        <v>11465237.1044</v>
      </c>
      <c r="P138">
        <v>7616.0992800000004</v>
      </c>
      <c r="Q138">
        <v>11472853.203680001</v>
      </c>
      <c r="R138" s="13">
        <v>0</v>
      </c>
      <c r="S138" s="13">
        <v>0</v>
      </c>
      <c r="T138" s="13">
        <v>0</v>
      </c>
      <c r="U138" s="13">
        <v>0</v>
      </c>
    </row>
    <row r="139" spans="1:21" ht="9" customHeight="1" x14ac:dyDescent="0.25">
      <c r="A139"/>
      <c r="B139" s="14"/>
      <c r="C139" s="12"/>
      <c r="D139" s="12"/>
      <c r="E139" s="12"/>
      <c r="F139" s="12"/>
      <c r="G139" s="12"/>
      <c r="H139" s="13"/>
      <c r="I139"/>
      <c r="J139"/>
      <c r="K139"/>
      <c r="L139"/>
      <c r="M139"/>
      <c r="N139"/>
      <c r="O139">
        <v>0</v>
      </c>
      <c r="P139">
        <v>0</v>
      </c>
      <c r="Q139">
        <v>0</v>
      </c>
      <c r="R139" s="13"/>
      <c r="S139" s="13"/>
      <c r="T139" s="13"/>
      <c r="U139" s="13"/>
    </row>
    <row r="140" spans="1:21" ht="14.4" x14ac:dyDescent="0.3">
      <c r="A140" s="21">
        <v>99</v>
      </c>
      <c r="B140" s="14">
        <v>2232</v>
      </c>
      <c r="C140" s="12"/>
      <c r="D140" s="12"/>
      <c r="E140" s="12">
        <v>4.4000000953674299</v>
      </c>
      <c r="F140" s="12" t="s">
        <v>30</v>
      </c>
      <c r="G140" s="12">
        <v>-12.5</v>
      </c>
      <c r="H140" s="13">
        <v>0</v>
      </c>
      <c r="I140"/>
      <c r="J140"/>
      <c r="K140"/>
      <c r="L140"/>
      <c r="M140"/>
      <c r="N140"/>
      <c r="O140">
        <v>10973610.850339999</v>
      </c>
      <c r="P140">
        <v>7752.4438</v>
      </c>
      <c r="Q140">
        <v>10981363.29414</v>
      </c>
      <c r="R140" s="13">
        <v>0</v>
      </c>
      <c r="S140" s="13">
        <v>0</v>
      </c>
      <c r="T140" s="13">
        <v>0</v>
      </c>
      <c r="U140" s="13">
        <v>0</v>
      </c>
    </row>
    <row r="141" spans="1:21" x14ac:dyDescent="0.25">
      <c r="A141" t="s">
        <v>31</v>
      </c>
      <c r="B141" s="14"/>
      <c r="C141" s="12"/>
      <c r="D141" s="12"/>
      <c r="E141" s="12"/>
      <c r="F141" s="12"/>
      <c r="G141" s="12"/>
      <c r="H141" s="13"/>
      <c r="I141"/>
      <c r="J141"/>
      <c r="K141"/>
      <c r="L141"/>
      <c r="M141"/>
      <c r="N141"/>
      <c r="O141">
        <v>0</v>
      </c>
      <c r="P141">
        <v>0</v>
      </c>
      <c r="Q141">
        <v>0</v>
      </c>
      <c r="R141" s="13"/>
      <c r="S141" s="13"/>
      <c r="T141" s="13"/>
      <c r="U141" s="13"/>
    </row>
    <row r="142" spans="1:21" x14ac:dyDescent="0.25">
      <c r="A142" t="s">
        <v>32</v>
      </c>
      <c r="B142" s="14"/>
      <c r="C142" s="12"/>
      <c r="D142" s="12"/>
      <c r="E142" s="12"/>
      <c r="F142" s="12"/>
      <c r="G142" s="12"/>
      <c r="H142" s="13"/>
      <c r="I142"/>
      <c r="J142"/>
      <c r="K142"/>
      <c r="L142"/>
      <c r="M142"/>
      <c r="N142"/>
      <c r="O142">
        <v>0</v>
      </c>
      <c r="P142">
        <v>0</v>
      </c>
      <c r="Q142">
        <v>0</v>
      </c>
      <c r="R142" s="13"/>
      <c r="S142" s="13"/>
      <c r="T142" s="13"/>
      <c r="U142" s="13"/>
    </row>
    <row r="143" spans="1:21" ht="14.4" x14ac:dyDescent="0.3">
      <c r="A143" s="21">
        <v>100</v>
      </c>
      <c r="B143" s="14"/>
      <c r="C143" s="12"/>
      <c r="D143" s="12"/>
      <c r="E143" s="12"/>
      <c r="F143" s="12"/>
      <c r="G143" s="12"/>
      <c r="H143" s="13"/>
      <c r="I143"/>
      <c r="J143"/>
      <c r="K143"/>
      <c r="L143"/>
      <c r="M143"/>
      <c r="N143"/>
      <c r="O143">
        <v>0</v>
      </c>
      <c r="P143">
        <v>3.16</v>
      </c>
      <c r="Q143">
        <v>3.16</v>
      </c>
      <c r="R143" s="13"/>
      <c r="S143" s="13"/>
      <c r="T143" s="13"/>
      <c r="U143" s="13"/>
    </row>
    <row r="144" spans="1:21" ht="14.4" x14ac:dyDescent="0.3">
      <c r="A144" s="21">
        <v>101</v>
      </c>
      <c r="B144" s="14">
        <v>1272</v>
      </c>
      <c r="C144" s="12"/>
      <c r="D144" s="12"/>
      <c r="E144" s="12"/>
      <c r="F144" s="12"/>
      <c r="G144" s="12"/>
      <c r="H144" s="13"/>
      <c r="I144"/>
      <c r="J144"/>
      <c r="K144"/>
      <c r="L144"/>
      <c r="M144"/>
      <c r="N144"/>
      <c r="O144">
        <v>755966.23910000001</v>
      </c>
      <c r="P144">
        <v>438.4658</v>
      </c>
      <c r="Q144">
        <v>756404.70490000013</v>
      </c>
      <c r="R144" s="13"/>
      <c r="S144" s="13"/>
      <c r="T144" s="13"/>
      <c r="U144" s="13"/>
    </row>
    <row r="145" spans="1:26" ht="14.4" x14ac:dyDescent="0.3">
      <c r="A145" s="21">
        <v>102</v>
      </c>
      <c r="B145" s="14">
        <v>2161</v>
      </c>
      <c r="C145" s="12"/>
      <c r="D145" s="12"/>
      <c r="E145" s="12"/>
      <c r="F145" s="12"/>
      <c r="G145" s="12"/>
      <c r="H145" s="13"/>
      <c r="I145"/>
      <c r="J145"/>
      <c r="K145"/>
      <c r="L145"/>
      <c r="M145"/>
      <c r="N145"/>
      <c r="O145">
        <v>9364071.8213000018</v>
      </c>
      <c r="P145">
        <v>7441.6578</v>
      </c>
      <c r="Q145">
        <v>9371513.4791000001</v>
      </c>
      <c r="R145" s="13"/>
      <c r="S145" s="13"/>
      <c r="T145" s="13"/>
      <c r="U145" s="13"/>
      <c r="Z145">
        <v>2</v>
      </c>
    </row>
    <row r="146" spans="1:26" ht="14.4" x14ac:dyDescent="0.3">
      <c r="A146" s="21">
        <v>103</v>
      </c>
      <c r="B146" s="14">
        <v>2207</v>
      </c>
      <c r="C146" s="12"/>
      <c r="D146" s="12"/>
      <c r="E146" s="12"/>
      <c r="F146" s="12"/>
      <c r="G146" s="12"/>
      <c r="H146" s="13"/>
      <c r="I146"/>
      <c r="J146"/>
      <c r="K146"/>
      <c r="L146"/>
      <c r="M146"/>
      <c r="N146"/>
      <c r="O146">
        <v>6190949.3793600006</v>
      </c>
      <c r="P146">
        <v>8456.9184000000005</v>
      </c>
      <c r="Q146">
        <v>6199406.2977600005</v>
      </c>
      <c r="R146" s="13"/>
      <c r="S146" s="13"/>
      <c r="T146" s="13"/>
      <c r="U146" s="13"/>
    </row>
    <row r="147" spans="1:26" ht="14.4" x14ac:dyDescent="0.3">
      <c r="A147" s="21">
        <v>104</v>
      </c>
      <c r="B147" s="14">
        <v>359</v>
      </c>
      <c r="C147" s="12"/>
      <c r="D147" s="12"/>
      <c r="E147" s="12"/>
      <c r="F147" s="12"/>
      <c r="G147" s="12"/>
      <c r="H147" s="13"/>
      <c r="I147"/>
      <c r="J147"/>
      <c r="K147"/>
      <c r="L147"/>
      <c r="M147"/>
      <c r="N147"/>
      <c r="O147">
        <v>4899197.0253800005</v>
      </c>
      <c r="P147">
        <v>5775.1370000000006</v>
      </c>
      <c r="Q147">
        <v>4904972.1623800006</v>
      </c>
      <c r="R147" s="13"/>
      <c r="S147" s="13"/>
      <c r="T147" s="13"/>
      <c r="U147" s="13"/>
    </row>
    <row r="148" spans="1:26" x14ac:dyDescent="0.25">
      <c r="A148"/>
      <c r="B148" s="14"/>
      <c r="C148" s="12"/>
      <c r="D148" s="12"/>
      <c r="E148" s="12"/>
      <c r="F148" s="12"/>
      <c r="G148" s="12"/>
      <c r="H148" s="13"/>
      <c r="I148"/>
      <c r="J148"/>
      <c r="K148"/>
      <c r="L148"/>
      <c r="M148"/>
      <c r="N148"/>
      <c r="O148"/>
      <c r="P148"/>
      <c r="Q148"/>
      <c r="R148" s="13"/>
      <c r="S148" s="13"/>
      <c r="T148" s="13"/>
      <c r="U148" s="13"/>
    </row>
    <row r="149" spans="1:26" x14ac:dyDescent="0.25">
      <c r="A149"/>
      <c r="B149" s="14"/>
      <c r="C149" s="12"/>
      <c r="D149" s="12"/>
      <c r="E149" s="12"/>
      <c r="F149" s="12"/>
      <c r="G149" s="12"/>
      <c r="H149" s="13"/>
      <c r="I149"/>
      <c r="J149"/>
      <c r="K149"/>
      <c r="L149"/>
      <c r="M149"/>
      <c r="N149"/>
      <c r="O149"/>
      <c r="P149"/>
      <c r="Q149"/>
      <c r="R149" s="13"/>
      <c r="S149" s="13"/>
      <c r="T149" s="13"/>
      <c r="U149" s="13"/>
    </row>
    <row r="150" spans="1:26" x14ac:dyDescent="0.25">
      <c r="A150"/>
      <c r="B150" s="14"/>
      <c r="C150" s="12"/>
      <c r="D150" s="12"/>
      <c r="E150" s="12"/>
      <c r="F150" s="12"/>
      <c r="G150" s="12"/>
      <c r="H150" s="13"/>
      <c r="I150"/>
      <c r="J150"/>
      <c r="K150"/>
      <c r="L150"/>
      <c r="M150"/>
      <c r="N150"/>
      <c r="O150"/>
      <c r="P150"/>
      <c r="Q150"/>
      <c r="R150" s="13"/>
      <c r="S150" s="13"/>
      <c r="T150" s="13"/>
      <c r="U150" s="13"/>
    </row>
    <row r="151" spans="1:26" x14ac:dyDescent="0.25">
      <c r="A151"/>
      <c r="B151" s="14"/>
      <c r="C151" s="12"/>
      <c r="D151" s="12"/>
      <c r="E151" s="12"/>
      <c r="F151" s="12"/>
      <c r="G151" s="12"/>
      <c r="H151" s="13"/>
      <c r="I151"/>
      <c r="J151"/>
      <c r="K151"/>
      <c r="L151"/>
      <c r="M151"/>
      <c r="N151"/>
      <c r="O151"/>
      <c r="P151"/>
      <c r="Q151"/>
      <c r="R151" s="13"/>
      <c r="S151" s="13"/>
      <c r="T151" s="13"/>
      <c r="U151" s="13"/>
    </row>
    <row r="152" spans="1:26" x14ac:dyDescent="0.25">
      <c r="A152"/>
      <c r="B152" s="14"/>
      <c r="C152" s="12"/>
      <c r="D152" s="12"/>
      <c r="E152" s="12"/>
      <c r="F152" s="12"/>
      <c r="G152" s="12"/>
      <c r="H152" s="13"/>
      <c r="I152" s="11"/>
      <c r="J152" s="11"/>
      <c r="K152" s="11"/>
      <c r="L152" s="11"/>
      <c r="M152" s="11"/>
      <c r="N152" s="11"/>
      <c r="O152" s="11"/>
      <c r="P152" s="11"/>
      <c r="Q152" s="11"/>
      <c r="R152" s="13"/>
      <c r="S152" s="13"/>
      <c r="T152" s="13"/>
      <c r="U152" s="13"/>
    </row>
    <row r="153" spans="1:26" x14ac:dyDescent="0.25">
      <c r="A153"/>
      <c r="B153" s="14"/>
      <c r="C153" s="12"/>
      <c r="D153" s="12"/>
      <c r="E153" s="12"/>
      <c r="F153" s="12"/>
      <c r="G153" s="12"/>
      <c r="H153" s="13"/>
      <c r="I153" s="11"/>
      <c r="J153" s="11"/>
      <c r="K153" s="11"/>
      <c r="L153" s="11"/>
      <c r="M153" s="11"/>
      <c r="N153" s="11"/>
      <c r="O153" s="11"/>
      <c r="P153" s="11"/>
      <c r="Q153" s="11"/>
      <c r="R153" s="13"/>
      <c r="S153" s="13"/>
      <c r="T153" s="13"/>
      <c r="U153" s="13"/>
    </row>
    <row r="154" spans="1:26" x14ac:dyDescent="0.25">
      <c r="A154"/>
      <c r="B154" s="14"/>
      <c r="C154" s="12"/>
      <c r="D154" s="12"/>
      <c r="E154" s="12"/>
      <c r="F154" s="12"/>
      <c r="G154" s="12"/>
      <c r="H154" s="13"/>
      <c r="I154" s="11"/>
      <c r="J154" s="11"/>
      <c r="K154" s="11"/>
      <c r="L154" s="11"/>
      <c r="M154" s="11"/>
      <c r="N154" s="11"/>
      <c r="O154" s="11"/>
      <c r="P154" s="11"/>
      <c r="Q154" s="11"/>
      <c r="R154" s="13"/>
      <c r="S154" s="13"/>
      <c r="T154" s="13"/>
      <c r="U154" s="13"/>
    </row>
    <row r="155" spans="1:26" x14ac:dyDescent="0.25">
      <c r="A155"/>
      <c r="B155" s="14"/>
      <c r="C155" s="12"/>
      <c r="D155" s="12"/>
      <c r="E155" s="12"/>
      <c r="F155" s="12"/>
      <c r="G155" s="12"/>
      <c r="H155" s="13"/>
      <c r="I155" s="11"/>
      <c r="J155" s="11"/>
      <c r="K155" s="11"/>
      <c r="L155" s="11"/>
      <c r="M155" s="11"/>
      <c r="N155" s="11"/>
      <c r="O155" s="11"/>
      <c r="P155" s="11"/>
      <c r="Q155" s="11"/>
      <c r="R155" s="13"/>
      <c r="S155" s="13"/>
      <c r="T155" s="13"/>
      <c r="U155" s="13"/>
    </row>
    <row r="156" spans="1:26" x14ac:dyDescent="0.25">
      <c r="A156"/>
      <c r="B156" s="14"/>
      <c r="C156" s="12"/>
      <c r="D156" s="12"/>
      <c r="E156" s="12"/>
      <c r="F156" s="12"/>
      <c r="G156" s="12"/>
      <c r="H156" s="13"/>
      <c r="I156" s="11"/>
      <c r="J156" s="11"/>
      <c r="K156" s="11"/>
      <c r="L156" s="11"/>
      <c r="M156" s="11"/>
      <c r="N156" s="11"/>
      <c r="O156" s="11"/>
      <c r="P156" s="11"/>
      <c r="Q156" s="11"/>
      <c r="R156" s="13"/>
      <c r="S156" s="13"/>
      <c r="T156" s="13"/>
      <c r="U156" s="13"/>
    </row>
    <row r="157" spans="1:26" x14ac:dyDescent="0.25">
      <c r="A157"/>
      <c r="B157" s="14"/>
      <c r="C157" s="12"/>
      <c r="D157" s="12"/>
      <c r="E157" s="12"/>
      <c r="F157" s="12"/>
      <c r="G157" s="12"/>
      <c r="H157" s="13"/>
      <c r="I157" s="11"/>
      <c r="J157" s="11"/>
      <c r="K157" s="11"/>
      <c r="L157" s="11"/>
      <c r="M157" s="11"/>
      <c r="N157" s="11"/>
      <c r="O157" s="11"/>
      <c r="P157" s="11"/>
      <c r="Q157" s="11"/>
      <c r="R157" s="13"/>
      <c r="S157" s="13"/>
      <c r="T157" s="13"/>
      <c r="U157" s="13"/>
    </row>
    <row r="158" spans="1:26" x14ac:dyDescent="0.25">
      <c r="A158"/>
      <c r="B158" s="14"/>
      <c r="C158" s="12"/>
      <c r="D158" s="12"/>
      <c r="E158" s="12"/>
      <c r="F158" s="12"/>
      <c r="G158" s="12"/>
      <c r="H158" s="13"/>
      <c r="I158" s="11"/>
      <c r="J158" s="11"/>
      <c r="K158" s="11"/>
      <c r="L158" s="11"/>
      <c r="M158" s="11"/>
      <c r="N158" s="11"/>
      <c r="O158" s="11"/>
      <c r="P158" s="11"/>
      <c r="Q158" s="11"/>
      <c r="R158" s="13"/>
      <c r="S158" s="13"/>
      <c r="T158" s="13"/>
      <c r="U158" s="13"/>
    </row>
    <row r="159" spans="1:26" x14ac:dyDescent="0.25">
      <c r="A159"/>
      <c r="B159" s="14"/>
      <c r="C159" s="12"/>
      <c r="D159" s="12"/>
      <c r="E159" s="12"/>
      <c r="F159" s="12"/>
      <c r="G159" s="12"/>
      <c r="H159" s="13"/>
      <c r="I159" s="11"/>
      <c r="J159" s="11"/>
      <c r="K159" s="11"/>
      <c r="L159" s="11"/>
      <c r="M159" s="11"/>
      <c r="N159" s="11"/>
      <c r="O159" s="11"/>
      <c r="P159" s="11"/>
      <c r="Q159" s="11"/>
      <c r="R159" s="13"/>
      <c r="S159" s="13"/>
      <c r="T159" s="13"/>
      <c r="U159" s="13"/>
    </row>
    <row r="160" spans="1:26" x14ac:dyDescent="0.25">
      <c r="A160"/>
      <c r="B160" s="14"/>
      <c r="C160" s="12"/>
      <c r="D160" s="12"/>
      <c r="E160" s="12"/>
      <c r="F160" s="12"/>
      <c r="G160" s="12"/>
      <c r="H160" s="13"/>
      <c r="I160" s="11"/>
      <c r="J160" s="11"/>
      <c r="K160" s="11"/>
      <c r="L160" s="11"/>
      <c r="M160" s="11"/>
      <c r="N160" s="11"/>
      <c r="O160" s="11"/>
      <c r="P160" s="11"/>
      <c r="Q160" s="11"/>
      <c r="R160" s="13"/>
      <c r="S160" s="13"/>
      <c r="T160" s="13"/>
      <c r="U160" s="13"/>
    </row>
    <row r="161" spans="1:21" x14ac:dyDescent="0.25">
      <c r="A161"/>
      <c r="B161" s="14"/>
      <c r="C161" s="12"/>
      <c r="D161" s="12"/>
      <c r="E161" s="12"/>
      <c r="F161" s="12"/>
      <c r="G161" s="12"/>
      <c r="H161" s="13"/>
      <c r="I161" s="11"/>
      <c r="J161" s="11"/>
      <c r="K161" s="11"/>
      <c r="L161" s="11"/>
      <c r="M161" s="11"/>
      <c r="N161" s="11"/>
      <c r="O161" s="11"/>
      <c r="P161" s="11"/>
      <c r="Q161" s="11"/>
      <c r="R161" s="13"/>
      <c r="S161" s="13"/>
      <c r="T161" s="13"/>
      <c r="U161" s="13"/>
    </row>
    <row r="162" spans="1:21" x14ac:dyDescent="0.25">
      <c r="A162"/>
      <c r="B162" s="14"/>
      <c r="C162" s="12"/>
      <c r="D162" s="12"/>
      <c r="E162" s="12"/>
      <c r="F162" s="12"/>
      <c r="G162" s="12"/>
      <c r="H162" s="13"/>
      <c r="I162" s="11"/>
      <c r="J162" s="11"/>
      <c r="K162" s="11"/>
      <c r="L162" s="11"/>
      <c r="M162" s="11"/>
      <c r="N162" s="11"/>
      <c r="O162" s="11"/>
      <c r="P162" s="11"/>
      <c r="Q162" s="11"/>
      <c r="R162" s="13"/>
      <c r="S162" s="13"/>
      <c r="T162" s="13"/>
      <c r="U162" s="13"/>
    </row>
    <row r="163" spans="1:21" x14ac:dyDescent="0.25">
      <c r="A163"/>
      <c r="B163" s="14"/>
      <c r="C163" s="12"/>
      <c r="D163" s="12"/>
      <c r="E163" s="12"/>
      <c r="F163" s="12"/>
      <c r="G163" s="12"/>
      <c r="H163" s="13"/>
      <c r="I163" s="11"/>
      <c r="J163" s="11"/>
      <c r="K163" s="11"/>
      <c r="L163" s="11"/>
      <c r="M163" s="11"/>
      <c r="N163" s="11"/>
      <c r="O163" s="11"/>
      <c r="P163" s="11"/>
      <c r="Q163" s="11"/>
      <c r="R163" s="13"/>
      <c r="S163" s="13"/>
      <c r="T163" s="13"/>
      <c r="U163" s="13"/>
    </row>
    <row r="164" spans="1:21" x14ac:dyDescent="0.25">
      <c r="A164"/>
      <c r="B164" s="14"/>
      <c r="C164" s="12"/>
      <c r="D164" s="12"/>
      <c r="E164" s="12"/>
      <c r="F164" s="12"/>
      <c r="G164" s="12"/>
      <c r="H164" s="13"/>
      <c r="I164" s="11"/>
      <c r="J164" s="11"/>
      <c r="K164" s="11"/>
      <c r="L164" s="11"/>
      <c r="M164" s="11"/>
      <c r="N164" s="11"/>
      <c r="O164" s="11"/>
      <c r="P164" s="11"/>
      <c r="Q164" s="11"/>
      <c r="R164" s="13"/>
      <c r="S164" s="13"/>
      <c r="T164" s="13"/>
      <c r="U164" s="13"/>
    </row>
    <row r="165" spans="1:21" x14ac:dyDescent="0.25">
      <c r="A165"/>
      <c r="B165" s="14"/>
      <c r="C165" s="12"/>
      <c r="D165" s="12"/>
      <c r="E165" s="12"/>
      <c r="F165" s="12"/>
      <c r="G165" s="12"/>
      <c r="H165" s="13"/>
      <c r="I165" s="11"/>
      <c r="J165" s="11"/>
      <c r="K165" s="11"/>
      <c r="L165" s="11"/>
      <c r="M165" s="11"/>
      <c r="N165" s="11"/>
      <c r="O165" s="11"/>
      <c r="P165" s="11"/>
      <c r="Q165" s="11"/>
      <c r="R165" s="13"/>
      <c r="S165" s="13"/>
      <c r="T165" s="13"/>
      <c r="U165" s="13"/>
    </row>
    <row r="166" spans="1:21" x14ac:dyDescent="0.25">
      <c r="A166"/>
      <c r="B166" s="14"/>
      <c r="C166" s="12"/>
      <c r="D166" s="12"/>
      <c r="E166" s="12"/>
      <c r="F166" s="12"/>
      <c r="G166" s="12"/>
      <c r="H166" s="13"/>
      <c r="I166" s="11"/>
      <c r="J166" s="11"/>
      <c r="K166" s="11"/>
      <c r="L166" s="11"/>
      <c r="M166" s="11"/>
      <c r="N166" s="11"/>
      <c r="O166" s="11"/>
      <c r="P166" s="11"/>
      <c r="Q166" s="11"/>
      <c r="R166" s="13"/>
      <c r="S166" s="13"/>
      <c r="T166" s="13"/>
      <c r="U166" s="13"/>
    </row>
    <row r="167" spans="1:21" x14ac:dyDescent="0.25">
      <c r="A167"/>
      <c r="B167" s="14"/>
      <c r="C167" s="12"/>
      <c r="D167" s="12"/>
      <c r="E167" s="12"/>
      <c r="F167" s="12"/>
      <c r="G167" s="12"/>
      <c r="H167" s="13"/>
      <c r="I167" s="11"/>
      <c r="J167" s="11"/>
      <c r="K167" s="11"/>
      <c r="L167" s="11"/>
      <c r="M167" s="11"/>
      <c r="N167" s="11"/>
      <c r="O167" s="11"/>
      <c r="P167" s="11"/>
      <c r="Q167" s="11"/>
      <c r="R167" s="13"/>
      <c r="S167" s="13"/>
      <c r="T167" s="13"/>
      <c r="U167" s="13"/>
    </row>
    <row r="168" spans="1:21" x14ac:dyDescent="0.25">
      <c r="A168"/>
      <c r="B168" s="14"/>
      <c r="C168" s="12"/>
      <c r="D168" s="12"/>
      <c r="E168" s="12"/>
      <c r="F168" s="12"/>
      <c r="G168" s="12"/>
      <c r="H168" s="13"/>
      <c r="I168" s="11"/>
      <c r="J168" s="11"/>
      <c r="K168" s="11"/>
      <c r="L168" s="11"/>
      <c r="M168" s="11"/>
      <c r="N168" s="11"/>
      <c r="O168" s="11"/>
      <c r="P168" s="11"/>
      <c r="Q168" s="11"/>
      <c r="R168" s="13"/>
      <c r="S168" s="13"/>
      <c r="T168" s="13"/>
      <c r="U168" s="13"/>
    </row>
    <row r="169" spans="1:21" x14ac:dyDescent="0.25">
      <c r="A169"/>
      <c r="B169" s="14"/>
      <c r="C169" s="12"/>
      <c r="D169" s="12"/>
      <c r="E169" s="12"/>
      <c r="F169" s="12"/>
      <c r="G169" s="12"/>
      <c r="H169" s="13"/>
      <c r="I169" s="11"/>
      <c r="J169" s="11"/>
      <c r="K169" s="11"/>
      <c r="L169" s="11"/>
      <c r="M169" s="11"/>
      <c r="N169" s="11"/>
      <c r="O169" s="11"/>
      <c r="P169" s="11"/>
      <c r="Q169" s="11"/>
      <c r="R169" s="13"/>
      <c r="S169" s="13"/>
      <c r="T169" s="13"/>
      <c r="U169" s="13"/>
    </row>
    <row r="170" spans="1:21" x14ac:dyDescent="0.25">
      <c r="A170"/>
      <c r="B170" s="14"/>
      <c r="C170" s="12"/>
      <c r="D170" s="12"/>
      <c r="E170" s="12"/>
      <c r="F170" s="12"/>
      <c r="G170" s="12"/>
      <c r="H170" s="13"/>
      <c r="I170" s="11"/>
      <c r="J170" s="11"/>
      <c r="K170" s="11"/>
      <c r="L170" s="11"/>
      <c r="M170" s="11"/>
      <c r="N170" s="11"/>
      <c r="O170" s="11"/>
      <c r="P170" s="11"/>
      <c r="Q170" s="11"/>
      <c r="R170" s="13"/>
      <c r="S170" s="13"/>
      <c r="T170" s="13"/>
      <c r="U170" s="13"/>
    </row>
    <row r="171" spans="1:21" x14ac:dyDescent="0.25">
      <c r="A171"/>
      <c r="B171" s="14"/>
      <c r="C171" s="12"/>
      <c r="D171" s="12"/>
      <c r="E171" s="12"/>
      <c r="F171" s="12"/>
      <c r="G171" s="12"/>
      <c r="H171" s="13"/>
      <c r="I171" s="11"/>
      <c r="J171" s="11"/>
      <c r="K171" s="11"/>
      <c r="L171" s="11"/>
      <c r="M171" s="11"/>
      <c r="N171" s="11"/>
      <c r="O171" s="11"/>
      <c r="P171" s="11"/>
      <c r="Q171" s="11"/>
      <c r="R171" s="13"/>
      <c r="S171" s="13"/>
      <c r="T171" s="13"/>
      <c r="U171" s="13"/>
    </row>
    <row r="172" spans="1:21" x14ac:dyDescent="0.25">
      <c r="A172"/>
      <c r="B172" s="14"/>
      <c r="C172" s="12"/>
      <c r="D172" s="12"/>
      <c r="E172" s="12"/>
      <c r="F172" s="12"/>
      <c r="G172" s="12"/>
      <c r="H172" s="13"/>
      <c r="I172" s="11"/>
      <c r="J172" s="11"/>
      <c r="K172" s="11"/>
      <c r="L172" s="11"/>
      <c r="M172" s="11"/>
      <c r="N172" s="11"/>
      <c r="O172" s="11"/>
      <c r="P172" s="11"/>
      <c r="Q172" s="11"/>
      <c r="R172" s="13"/>
      <c r="S172" s="13"/>
      <c r="T172" s="13"/>
      <c r="U172" s="13"/>
    </row>
    <row r="173" spans="1:21" x14ac:dyDescent="0.25">
      <c r="A173"/>
      <c r="B173" s="14"/>
      <c r="C173" s="12"/>
      <c r="D173" s="12"/>
      <c r="E173" s="12"/>
      <c r="F173" s="12"/>
      <c r="G173" s="12"/>
      <c r="H173" s="13"/>
      <c r="I173" s="11"/>
      <c r="J173" s="11"/>
      <c r="K173" s="11"/>
      <c r="L173" s="11"/>
      <c r="M173" s="11"/>
      <c r="N173" s="11"/>
      <c r="O173" s="11"/>
      <c r="P173" s="11"/>
      <c r="Q173" s="11"/>
      <c r="R173" s="13"/>
      <c r="S173" s="13"/>
      <c r="T173" s="13"/>
      <c r="U173" s="13"/>
    </row>
    <row r="174" spans="1:21" x14ac:dyDescent="0.25">
      <c r="A174"/>
      <c r="B174" s="14"/>
      <c r="C174" s="12"/>
      <c r="D174" s="12"/>
      <c r="E174" s="12"/>
      <c r="F174" s="12"/>
      <c r="G174" s="12"/>
      <c r="H174" s="13"/>
      <c r="I174" s="11"/>
      <c r="J174" s="11"/>
      <c r="K174" s="11"/>
      <c r="L174" s="11"/>
      <c r="M174" s="11"/>
      <c r="N174" s="11"/>
      <c r="O174" s="11"/>
      <c r="P174" s="11"/>
      <c r="Q174" s="11"/>
      <c r="R174" s="13"/>
      <c r="S174" s="13"/>
      <c r="T174" s="13"/>
      <c r="U174" s="13"/>
    </row>
    <row r="175" spans="1:21" x14ac:dyDescent="0.25">
      <c r="A175"/>
      <c r="B175" s="14"/>
      <c r="C175" s="12"/>
      <c r="D175" s="12"/>
      <c r="E175" s="12"/>
      <c r="F175" s="12"/>
      <c r="G175" s="12"/>
      <c r="H175" s="13"/>
      <c r="I175" s="11"/>
      <c r="J175" s="11"/>
      <c r="K175" s="11"/>
      <c r="L175" s="11"/>
      <c r="M175" s="11"/>
      <c r="N175" s="11"/>
      <c r="O175" s="11"/>
      <c r="P175" s="11"/>
      <c r="Q175" s="11"/>
      <c r="R175" s="13"/>
      <c r="S175" s="13"/>
      <c r="T175" s="13"/>
      <c r="U175" s="13"/>
    </row>
    <row r="176" spans="1:21" x14ac:dyDescent="0.25">
      <c r="A176"/>
      <c r="B176" s="14"/>
      <c r="C176" s="12"/>
      <c r="D176" s="12"/>
      <c r="E176" s="12"/>
      <c r="F176" s="12"/>
      <c r="G176" s="12"/>
      <c r="H176" s="13"/>
      <c r="I176" s="11"/>
      <c r="J176" s="11"/>
      <c r="K176" s="11"/>
      <c r="L176" s="11"/>
      <c r="M176" s="11"/>
      <c r="N176" s="11"/>
      <c r="O176" s="11"/>
      <c r="P176" s="11"/>
      <c r="Q176" s="11"/>
      <c r="R176" s="13"/>
      <c r="S176" s="13"/>
      <c r="T176" s="13"/>
      <c r="U176" s="13"/>
    </row>
    <row r="177" spans="1:21" x14ac:dyDescent="0.25">
      <c r="A177"/>
      <c r="B177" s="14"/>
      <c r="C177" s="12"/>
      <c r="D177" s="12"/>
      <c r="E177" s="12"/>
      <c r="F177" s="12"/>
      <c r="G177" s="12"/>
      <c r="H177" s="13"/>
      <c r="I177" s="11"/>
      <c r="J177" s="11"/>
      <c r="K177" s="11"/>
      <c r="L177" s="11"/>
      <c r="M177" s="11"/>
      <c r="N177" s="11"/>
      <c r="O177" s="11"/>
      <c r="P177" s="11"/>
      <c r="Q177" s="11"/>
      <c r="R177" s="13"/>
      <c r="S177" s="13"/>
      <c r="T177" s="13"/>
      <c r="U177" s="13"/>
    </row>
    <row r="178" spans="1:21" x14ac:dyDescent="0.25">
      <c r="A178"/>
      <c r="B178" s="14"/>
      <c r="C178" s="12"/>
      <c r="D178" s="12"/>
      <c r="E178" s="12"/>
      <c r="F178" s="12"/>
      <c r="G178" s="12"/>
      <c r="H178" s="13"/>
      <c r="I178" s="11"/>
      <c r="J178" s="11"/>
      <c r="K178" s="11"/>
      <c r="L178" s="11"/>
      <c r="M178" s="11"/>
      <c r="N178" s="11"/>
      <c r="O178" s="11"/>
      <c r="P178" s="11"/>
      <c r="Q178" s="11"/>
      <c r="R178" s="13"/>
      <c r="S178" s="13"/>
      <c r="T178" s="13"/>
      <c r="U178" s="13"/>
    </row>
    <row r="179" spans="1:21" x14ac:dyDescent="0.25">
      <c r="A179"/>
      <c r="B179" s="14"/>
      <c r="C179" s="12"/>
      <c r="D179" s="12"/>
      <c r="E179" s="12"/>
      <c r="F179" s="12"/>
      <c r="G179" s="12"/>
      <c r="H179" s="13"/>
      <c r="I179" s="11"/>
      <c r="J179" s="11"/>
      <c r="K179" s="11"/>
      <c r="L179" s="11"/>
      <c r="M179" s="11"/>
      <c r="N179" s="11"/>
      <c r="O179" s="11"/>
      <c r="P179" s="11"/>
      <c r="Q179" s="11"/>
      <c r="R179" s="13"/>
      <c r="S179" s="13"/>
      <c r="T179" s="13"/>
      <c r="U179" s="13"/>
    </row>
    <row r="180" spans="1:21" x14ac:dyDescent="0.25">
      <c r="A180"/>
      <c r="B180" s="14"/>
      <c r="C180" s="12"/>
      <c r="D180" s="12"/>
      <c r="E180" s="12"/>
      <c r="F180" s="12"/>
      <c r="G180" s="12"/>
      <c r="H180" s="13"/>
      <c r="I180" s="11"/>
      <c r="J180" s="11"/>
      <c r="K180" s="11"/>
      <c r="L180" s="11"/>
      <c r="M180" s="11"/>
      <c r="N180" s="11"/>
      <c r="O180" s="11"/>
      <c r="P180" s="11"/>
      <c r="Q180" s="11"/>
      <c r="R180" s="13"/>
      <c r="S180" s="13"/>
      <c r="T180" s="13"/>
      <c r="U180" s="13"/>
    </row>
    <row r="181" spans="1:21" x14ac:dyDescent="0.25">
      <c r="A181"/>
      <c r="B181" s="14"/>
      <c r="C181" s="12"/>
      <c r="D181" s="12"/>
      <c r="E181" s="12"/>
      <c r="F181" s="12"/>
      <c r="G181" s="12"/>
      <c r="H181" s="13"/>
      <c r="I181" s="11"/>
      <c r="J181" s="11"/>
      <c r="K181" s="11"/>
      <c r="L181" s="11"/>
      <c r="M181" s="11"/>
      <c r="N181" s="11"/>
      <c r="O181" s="11"/>
      <c r="P181" s="11"/>
      <c r="Q181" s="11"/>
      <c r="R181" s="13"/>
      <c r="S181" s="13"/>
      <c r="T181" s="13"/>
      <c r="U181" s="13"/>
    </row>
    <row r="182" spans="1:21" x14ac:dyDescent="0.25">
      <c r="A182"/>
      <c r="B182" s="14"/>
      <c r="C182" s="12"/>
      <c r="D182" s="12"/>
      <c r="E182" s="12"/>
      <c r="F182" s="12"/>
      <c r="G182" s="12"/>
      <c r="H182" s="13"/>
      <c r="I182" s="11"/>
      <c r="J182" s="11"/>
      <c r="K182" s="11"/>
      <c r="L182" s="11"/>
      <c r="M182" s="11"/>
      <c r="N182" s="11"/>
      <c r="O182" s="11"/>
      <c r="P182" s="11"/>
      <c r="Q182" s="11"/>
      <c r="R182" s="13"/>
      <c r="S182" s="13"/>
      <c r="T182" s="13"/>
      <c r="U182" s="13"/>
    </row>
    <row r="183" spans="1:21" x14ac:dyDescent="0.25">
      <c r="A183"/>
      <c r="B183" s="14"/>
      <c r="C183" s="12"/>
      <c r="D183" s="12"/>
      <c r="E183" s="12"/>
      <c r="F183" s="12"/>
      <c r="G183" s="12"/>
      <c r="H183" s="13"/>
      <c r="I183" s="11"/>
      <c r="J183" s="11"/>
      <c r="K183" s="11"/>
      <c r="L183" s="11"/>
      <c r="M183" s="11"/>
      <c r="N183" s="11"/>
      <c r="O183" s="11"/>
      <c r="P183" s="11"/>
      <c r="Q183" s="11"/>
      <c r="R183" s="13"/>
      <c r="S183" s="13"/>
      <c r="T183" s="13"/>
      <c r="U183" s="13"/>
    </row>
    <row r="184" spans="1:21" x14ac:dyDescent="0.25">
      <c r="A184"/>
      <c r="B184" s="14"/>
      <c r="C184" s="12"/>
      <c r="D184" s="12"/>
      <c r="E184" s="12"/>
      <c r="F184" s="12"/>
      <c r="G184" s="12"/>
      <c r="H184" s="13"/>
      <c r="I184" s="11"/>
      <c r="J184" s="11"/>
      <c r="K184" s="11"/>
      <c r="L184" s="11"/>
      <c r="M184" s="11"/>
      <c r="N184" s="11"/>
      <c r="O184" s="11"/>
      <c r="P184" s="11"/>
      <c r="Q184" s="11"/>
      <c r="R184" s="13"/>
      <c r="S184" s="13"/>
      <c r="T184" s="13"/>
      <c r="U184" s="13"/>
    </row>
    <row r="185" spans="1:21" x14ac:dyDescent="0.25">
      <c r="A185"/>
      <c r="B185" s="14"/>
      <c r="C185" s="12"/>
      <c r="D185" s="12"/>
      <c r="E185" s="12"/>
      <c r="F185" s="12"/>
      <c r="G185" s="12"/>
      <c r="H185" s="13"/>
      <c r="I185" s="11"/>
      <c r="J185" s="11"/>
      <c r="K185" s="11"/>
      <c r="L185" s="11"/>
      <c r="M185" s="11"/>
      <c r="N185" s="11"/>
      <c r="O185" s="11"/>
      <c r="P185" s="11"/>
      <c r="Q185" s="11"/>
      <c r="R185" s="13"/>
      <c r="S185" s="13"/>
      <c r="T185" s="13"/>
      <c r="U185" s="13"/>
    </row>
    <row r="186" spans="1:21" x14ac:dyDescent="0.25">
      <c r="A186"/>
      <c r="B186" s="14"/>
      <c r="C186" s="12"/>
      <c r="D186" s="12"/>
      <c r="E186" s="12"/>
      <c r="F186" s="12"/>
      <c r="G186" s="12"/>
      <c r="H186" s="13"/>
      <c r="I186" s="11"/>
      <c r="J186" s="11"/>
      <c r="K186" s="11"/>
      <c r="L186" s="11"/>
      <c r="M186" s="11"/>
      <c r="N186" s="11"/>
      <c r="O186" s="11"/>
      <c r="P186" s="11"/>
      <c r="Q186" s="11"/>
      <c r="R186" s="13"/>
      <c r="S186" s="13"/>
      <c r="T186" s="13"/>
      <c r="U186" s="13"/>
    </row>
    <row r="187" spans="1:21" x14ac:dyDescent="0.25">
      <c r="A187"/>
      <c r="B187" s="14"/>
      <c r="C187" s="12"/>
      <c r="D187" s="12"/>
      <c r="E187" s="12"/>
      <c r="F187" s="12"/>
      <c r="G187" s="12"/>
      <c r="H187" s="13"/>
      <c r="I187" s="11"/>
      <c r="J187" s="11"/>
      <c r="K187" s="11"/>
      <c r="L187" s="11"/>
      <c r="M187" s="11"/>
      <c r="N187" s="11"/>
      <c r="O187" s="11"/>
      <c r="P187" s="11"/>
      <c r="Q187" s="11"/>
      <c r="R187" s="13"/>
      <c r="S187" s="13"/>
      <c r="T187" s="13"/>
      <c r="U187" s="13"/>
    </row>
    <row r="188" spans="1:21" x14ac:dyDescent="0.25">
      <c r="A188"/>
      <c r="B188" s="14"/>
      <c r="C188" s="12"/>
      <c r="D188" s="12"/>
      <c r="E188" s="12"/>
      <c r="F188" s="12"/>
      <c r="G188" s="12"/>
      <c r="H188" s="13"/>
      <c r="I188" s="11"/>
      <c r="J188" s="11"/>
      <c r="K188" s="11"/>
      <c r="L188" s="11"/>
      <c r="M188" s="11"/>
      <c r="N188" s="11"/>
      <c r="O188" s="11"/>
      <c r="P188" s="11"/>
      <c r="Q188" s="11"/>
      <c r="R188" s="13"/>
      <c r="S188" s="13"/>
      <c r="T188" s="13"/>
      <c r="U188" s="13"/>
    </row>
    <row r="189" spans="1:21" x14ac:dyDescent="0.25">
      <c r="A189"/>
      <c r="B189" s="14"/>
      <c r="C189" s="12"/>
      <c r="D189" s="12"/>
      <c r="E189" s="12"/>
      <c r="F189" s="12"/>
      <c r="G189" s="12"/>
      <c r="H189" s="13"/>
      <c r="I189" s="11"/>
      <c r="J189" s="11"/>
      <c r="K189" s="11"/>
      <c r="L189" s="11"/>
      <c r="M189" s="11"/>
      <c r="N189" s="11"/>
      <c r="O189" s="11"/>
      <c r="P189" s="11"/>
      <c r="Q189" s="11"/>
      <c r="R189" s="13"/>
      <c r="S189" s="13"/>
      <c r="T189" s="13"/>
      <c r="U189" s="13"/>
    </row>
    <row r="190" spans="1:21" x14ac:dyDescent="0.25">
      <c r="A190"/>
      <c r="B190" s="14"/>
      <c r="C190" s="12"/>
      <c r="D190" s="12"/>
      <c r="E190" s="12"/>
      <c r="F190" s="12"/>
      <c r="G190" s="12"/>
      <c r="H190" s="13"/>
      <c r="I190" s="11"/>
      <c r="J190" s="11"/>
      <c r="K190" s="11"/>
      <c r="L190" s="11"/>
      <c r="M190" s="11"/>
      <c r="N190" s="11"/>
      <c r="O190" s="11"/>
      <c r="P190" s="11"/>
      <c r="Q190" s="11"/>
      <c r="R190" s="13"/>
      <c r="S190" s="13"/>
      <c r="T190" s="13"/>
      <c r="U190" s="13"/>
    </row>
    <row r="191" spans="1:21" x14ac:dyDescent="0.25">
      <c r="A191"/>
      <c r="B191" s="14"/>
      <c r="C191" s="12"/>
      <c r="D191" s="12"/>
      <c r="E191" s="12"/>
      <c r="F191" s="12"/>
      <c r="G191" s="12"/>
      <c r="H191" s="13"/>
      <c r="I191" s="11"/>
      <c r="J191" s="11"/>
      <c r="K191" s="11"/>
      <c r="L191" s="11"/>
      <c r="M191" s="11"/>
      <c r="N191" s="11"/>
      <c r="O191" s="11"/>
      <c r="P191" s="11"/>
      <c r="Q191" s="11"/>
      <c r="R191" s="13"/>
      <c r="S191" s="13"/>
      <c r="T191" s="13"/>
      <c r="U191" s="13"/>
    </row>
    <row r="192" spans="1:21" x14ac:dyDescent="0.25">
      <c r="A192"/>
      <c r="B192" s="14"/>
      <c r="C192" s="12"/>
      <c r="D192" s="12"/>
      <c r="E192" s="12"/>
      <c r="F192" s="12"/>
      <c r="G192" s="12"/>
      <c r="H192" s="13"/>
      <c r="I192" s="11"/>
      <c r="J192" s="11"/>
      <c r="K192" s="11"/>
      <c r="L192" s="11"/>
      <c r="M192" s="11"/>
      <c r="N192" s="11"/>
      <c r="O192" s="11"/>
      <c r="P192" s="11"/>
      <c r="Q192" s="11"/>
      <c r="R192" s="13"/>
      <c r="S192" s="13"/>
      <c r="T192" s="13"/>
      <c r="U192" s="13"/>
    </row>
    <row r="193" spans="1:21" x14ac:dyDescent="0.25">
      <c r="A193"/>
      <c r="B193" s="14"/>
      <c r="C193" s="12"/>
      <c r="D193" s="12"/>
      <c r="E193" s="12"/>
      <c r="F193" s="12"/>
      <c r="G193" s="12"/>
      <c r="H193" s="13"/>
      <c r="I193" s="11"/>
      <c r="J193" s="11"/>
      <c r="K193" s="11"/>
      <c r="L193" s="11"/>
      <c r="M193" s="11"/>
      <c r="N193" s="11"/>
      <c r="O193" s="11"/>
      <c r="P193" s="11"/>
      <c r="Q193" s="11"/>
      <c r="R193" s="13"/>
      <c r="S193" s="13"/>
      <c r="T193" s="13"/>
      <c r="U193" s="13"/>
    </row>
    <row r="194" spans="1:21" x14ac:dyDescent="0.25">
      <c r="A194"/>
      <c r="B194" s="14"/>
      <c r="C194" s="12"/>
      <c r="D194" s="12"/>
      <c r="E194" s="12"/>
      <c r="F194" s="12"/>
      <c r="G194" s="12"/>
      <c r="H194" s="13"/>
      <c r="I194" s="11"/>
      <c r="J194" s="11"/>
      <c r="K194" s="11"/>
      <c r="L194" s="11"/>
      <c r="M194" s="11"/>
      <c r="N194" s="11"/>
      <c r="O194" s="11"/>
      <c r="P194" s="11"/>
      <c r="Q194" s="11"/>
      <c r="R194" s="13"/>
      <c r="S194" s="13"/>
      <c r="T194" s="13"/>
      <c r="U194" s="13"/>
    </row>
    <row r="195" spans="1:21" x14ac:dyDescent="0.25">
      <c r="A195"/>
      <c r="B195" s="14"/>
      <c r="C195" s="12"/>
      <c r="D195" s="12"/>
      <c r="E195" s="12"/>
      <c r="F195" s="12"/>
      <c r="G195" s="12"/>
      <c r="H195" s="13"/>
      <c r="I195" s="11"/>
      <c r="J195" s="11"/>
      <c r="K195" s="11"/>
      <c r="L195" s="11"/>
      <c r="M195" s="11"/>
      <c r="N195" s="11"/>
      <c r="O195" s="11"/>
      <c r="P195" s="11"/>
      <c r="Q195" s="11"/>
      <c r="R195" s="13"/>
      <c r="S195" s="13"/>
      <c r="T195" s="13"/>
      <c r="U195" s="13"/>
    </row>
    <row r="196" spans="1:21" x14ac:dyDescent="0.25">
      <c r="A196"/>
      <c r="B196" s="14"/>
      <c r="C196" s="12"/>
      <c r="D196" s="12"/>
      <c r="E196" s="12"/>
      <c r="F196" s="12"/>
      <c r="G196" s="12"/>
      <c r="H196" s="13"/>
      <c r="I196" s="11"/>
      <c r="J196" s="11"/>
      <c r="K196" s="11"/>
      <c r="L196" s="11"/>
      <c r="M196" s="11"/>
      <c r="N196" s="11"/>
      <c r="O196" s="11"/>
      <c r="P196" s="11"/>
      <c r="Q196" s="11"/>
      <c r="R196" s="13"/>
      <c r="S196" s="13"/>
      <c r="T196" s="13"/>
      <c r="U196" s="13"/>
    </row>
    <row r="197" spans="1:21" x14ac:dyDescent="0.25">
      <c r="A197"/>
      <c r="B197" s="14"/>
      <c r="C197" s="12"/>
      <c r="D197" s="12"/>
      <c r="E197" s="12"/>
      <c r="F197" s="12"/>
      <c r="G197" s="12"/>
      <c r="H197" s="13"/>
      <c r="I197" s="11"/>
      <c r="J197" s="11"/>
      <c r="K197" s="11"/>
      <c r="L197" s="11"/>
      <c r="M197" s="11"/>
      <c r="N197" s="11"/>
      <c r="O197" s="11"/>
      <c r="P197" s="11"/>
      <c r="Q197" s="11"/>
      <c r="R197" s="13"/>
      <c r="S197" s="13"/>
      <c r="T197" s="13"/>
      <c r="U197" s="13"/>
    </row>
    <row r="198" spans="1:21" x14ac:dyDescent="0.25">
      <c r="A198"/>
      <c r="B198" s="14"/>
      <c r="C198" s="12"/>
      <c r="D198" s="12"/>
      <c r="E198" s="12"/>
      <c r="F198" s="12"/>
      <c r="G198" s="12"/>
      <c r="H198" s="13"/>
      <c r="I198" s="11"/>
      <c r="J198" s="11"/>
      <c r="K198" s="11"/>
      <c r="L198" s="11"/>
      <c r="M198" s="11"/>
      <c r="N198" s="11"/>
      <c r="O198" s="11"/>
      <c r="P198" s="11"/>
      <c r="Q198" s="11"/>
      <c r="R198" s="13"/>
      <c r="S198" s="13"/>
      <c r="T198" s="13"/>
      <c r="U198" s="13"/>
    </row>
    <row r="199" spans="1:21" x14ac:dyDescent="0.25">
      <c r="A199"/>
      <c r="B199" s="14"/>
      <c r="C199" s="12"/>
      <c r="D199" s="12"/>
      <c r="E199" s="12"/>
      <c r="F199" s="12"/>
      <c r="G199" s="12"/>
      <c r="H199" s="13"/>
      <c r="I199" s="11"/>
      <c r="J199" s="11"/>
      <c r="K199" s="11"/>
      <c r="L199" s="11"/>
      <c r="M199" s="11"/>
      <c r="N199" s="11"/>
      <c r="O199" s="11"/>
      <c r="P199" s="11"/>
      <c r="Q199" s="11"/>
      <c r="R199" s="13"/>
      <c r="S199" s="13"/>
      <c r="T199" s="13"/>
      <c r="U199" s="13"/>
    </row>
    <row r="200" spans="1:21" x14ac:dyDescent="0.25">
      <c r="A200"/>
      <c r="B200" s="14"/>
      <c r="C200" s="12"/>
      <c r="D200" s="12"/>
      <c r="E200" s="12"/>
      <c r="F200" s="12"/>
      <c r="G200" s="12"/>
      <c r="H200" s="13"/>
      <c r="I200" s="11"/>
      <c r="J200" s="11"/>
      <c r="K200" s="11"/>
      <c r="L200" s="11"/>
      <c r="M200" s="11"/>
      <c r="N200" s="11"/>
      <c r="O200" s="11"/>
      <c r="P200" s="11"/>
      <c r="Q200" s="11"/>
      <c r="R200" s="13"/>
      <c r="S200" s="13"/>
      <c r="T200" s="13"/>
      <c r="U200" s="13"/>
    </row>
    <row r="201" spans="1:21" x14ac:dyDescent="0.25">
      <c r="A201"/>
      <c r="B201" s="14"/>
      <c r="C201" s="12"/>
      <c r="D201" s="12"/>
      <c r="E201" s="12"/>
      <c r="F201" s="12"/>
      <c r="G201" s="12"/>
      <c r="H201" s="13"/>
      <c r="I201" s="11"/>
      <c r="J201" s="11"/>
      <c r="K201" s="11"/>
      <c r="L201" s="11"/>
      <c r="M201" s="11"/>
      <c r="N201" s="11"/>
      <c r="O201" s="11"/>
      <c r="P201" s="11"/>
      <c r="Q201" s="11"/>
      <c r="R201" s="13"/>
      <c r="S201" s="13"/>
      <c r="T201" s="13"/>
      <c r="U201" s="13"/>
    </row>
    <row r="202" spans="1:21" x14ac:dyDescent="0.25">
      <c r="A202"/>
      <c r="B202" s="14"/>
      <c r="C202" s="12"/>
      <c r="D202" s="12"/>
      <c r="E202" s="12"/>
      <c r="F202" s="12"/>
      <c r="G202" s="12"/>
      <c r="H202" s="13"/>
      <c r="I202" s="11"/>
      <c r="J202" s="11"/>
      <c r="K202" s="11"/>
      <c r="L202" s="11"/>
      <c r="M202" s="11"/>
      <c r="N202" s="11"/>
      <c r="O202" s="11"/>
      <c r="P202" s="11"/>
      <c r="Q202" s="11"/>
      <c r="R202" s="13"/>
      <c r="S202" s="13"/>
      <c r="T202" s="13"/>
      <c r="U202" s="13"/>
    </row>
    <row r="203" spans="1:21" x14ac:dyDescent="0.25">
      <c r="A203"/>
      <c r="B203" s="14"/>
      <c r="C203" s="12"/>
      <c r="D203" s="12"/>
      <c r="E203" s="12"/>
      <c r="F203" s="12"/>
      <c r="G203" s="12"/>
      <c r="H203" s="13"/>
      <c r="I203" s="11"/>
      <c r="J203" s="11"/>
      <c r="K203" s="11"/>
      <c r="L203" s="11"/>
      <c r="M203" s="11"/>
      <c r="N203" s="11"/>
      <c r="O203" s="11"/>
      <c r="P203" s="11"/>
      <c r="Q203" s="11"/>
      <c r="R203" s="13"/>
      <c r="S203" s="13"/>
      <c r="T203" s="13"/>
      <c r="U203" s="13"/>
    </row>
    <row r="204" spans="1:21" x14ac:dyDescent="0.25">
      <c r="A204"/>
      <c r="B204" s="14"/>
      <c r="C204" s="12"/>
      <c r="D204" s="12"/>
      <c r="E204" s="12"/>
      <c r="F204" s="12"/>
      <c r="G204" s="12"/>
      <c r="H204" s="13"/>
      <c r="I204" s="11"/>
      <c r="J204" s="11"/>
      <c r="K204" s="11"/>
      <c r="L204" s="11"/>
      <c r="M204" s="11"/>
      <c r="N204" s="11"/>
      <c r="O204" s="11"/>
      <c r="P204" s="11"/>
      <c r="Q204" s="11"/>
      <c r="R204" s="13"/>
      <c r="S204" s="13"/>
      <c r="T204" s="13"/>
      <c r="U204" s="13"/>
    </row>
    <row r="205" spans="1:21" x14ac:dyDescent="0.25">
      <c r="A205"/>
      <c r="B205" s="14"/>
      <c r="C205" s="12"/>
      <c r="D205" s="12"/>
      <c r="E205" s="12"/>
      <c r="F205" s="12"/>
      <c r="G205" s="12"/>
      <c r="H205" s="13"/>
      <c r="I205" s="11"/>
      <c r="J205" s="11"/>
      <c r="K205" s="11"/>
      <c r="L205" s="11"/>
      <c r="M205" s="11"/>
      <c r="N205" s="11"/>
      <c r="O205" s="11"/>
      <c r="P205" s="11"/>
      <c r="Q205" s="11"/>
      <c r="R205" s="13"/>
      <c r="S205" s="13"/>
      <c r="T205" s="13"/>
      <c r="U205" s="13"/>
    </row>
    <row r="206" spans="1:21" x14ac:dyDescent="0.25">
      <c r="A206"/>
      <c r="B206" s="14"/>
      <c r="C206" s="12"/>
      <c r="D206" s="12"/>
      <c r="E206" s="12"/>
      <c r="F206" s="12"/>
      <c r="G206" s="12"/>
      <c r="H206" s="13"/>
      <c r="I206" s="11"/>
      <c r="J206" s="11"/>
      <c r="K206" s="11"/>
      <c r="L206" s="11"/>
      <c r="M206" s="11"/>
      <c r="N206" s="11"/>
      <c r="O206" s="11"/>
      <c r="P206" s="11"/>
      <c r="Q206" s="11"/>
      <c r="R206" s="13"/>
      <c r="S206" s="13"/>
      <c r="T206" s="13"/>
      <c r="U206" s="13"/>
    </row>
    <row r="207" spans="1:21" x14ac:dyDescent="0.25">
      <c r="A207"/>
      <c r="B207" s="14"/>
      <c r="C207" s="12"/>
      <c r="D207" s="12"/>
      <c r="E207" s="12"/>
      <c r="F207" s="12"/>
      <c r="G207" s="12"/>
      <c r="H207" s="13"/>
      <c r="I207" s="11"/>
      <c r="J207" s="11"/>
      <c r="K207" s="11"/>
      <c r="L207" s="11"/>
      <c r="M207" s="11"/>
      <c r="N207" s="11"/>
      <c r="O207" s="11"/>
      <c r="P207" s="11"/>
      <c r="Q207" s="11"/>
      <c r="R207" s="13"/>
      <c r="S207" s="13"/>
      <c r="T207" s="13"/>
      <c r="U207" s="13"/>
    </row>
    <row r="208" spans="1:21" x14ac:dyDescent="0.25">
      <c r="A208"/>
      <c r="B208" s="14"/>
      <c r="C208" s="12"/>
      <c r="D208" s="12"/>
      <c r="E208" s="12"/>
      <c r="F208" s="12"/>
      <c r="G208" s="12"/>
      <c r="H208" s="13"/>
      <c r="I208" s="11"/>
      <c r="J208" s="11"/>
      <c r="K208" s="11"/>
      <c r="L208" s="11"/>
      <c r="M208" s="11"/>
      <c r="N208" s="11"/>
      <c r="O208" s="11"/>
      <c r="P208" s="11"/>
      <c r="Q208" s="11"/>
      <c r="R208" s="13"/>
      <c r="S208" s="13"/>
      <c r="T208" s="13"/>
      <c r="U208" s="13"/>
    </row>
    <row r="209" spans="1:21" x14ac:dyDescent="0.25">
      <c r="A209"/>
      <c r="B209" s="14"/>
      <c r="C209" s="12"/>
      <c r="D209" s="12"/>
      <c r="E209" s="12"/>
      <c r="F209" s="12"/>
      <c r="G209" s="12"/>
      <c r="H209" s="13"/>
      <c r="I209" s="11"/>
      <c r="J209" s="11"/>
      <c r="K209" s="11"/>
      <c r="L209" s="11"/>
      <c r="M209" s="11"/>
      <c r="N209" s="11"/>
      <c r="O209" s="11"/>
      <c r="P209" s="11"/>
      <c r="Q209" s="11"/>
      <c r="R209" s="13"/>
      <c r="S209" s="13"/>
      <c r="T209" s="13"/>
      <c r="U209" s="13"/>
    </row>
    <row r="210" spans="1:21" x14ac:dyDescent="0.25">
      <c r="A210"/>
      <c r="B210" s="14"/>
      <c r="C210" s="12"/>
      <c r="D210" s="12"/>
      <c r="E210" s="12"/>
      <c r="F210" s="12"/>
      <c r="G210" s="12"/>
      <c r="H210" s="13"/>
      <c r="I210" s="11"/>
      <c r="J210" s="11"/>
      <c r="K210" s="11"/>
      <c r="L210" s="11"/>
      <c r="M210" s="11"/>
      <c r="N210" s="11"/>
      <c r="O210" s="11"/>
      <c r="P210" s="11"/>
      <c r="Q210" s="11"/>
      <c r="R210" s="13"/>
      <c r="S210" s="13"/>
      <c r="T210" s="13"/>
      <c r="U210" s="13"/>
    </row>
    <row r="211" spans="1:21" x14ac:dyDescent="0.25">
      <c r="A211"/>
      <c r="B211" s="14"/>
      <c r="C211" s="12"/>
      <c r="D211" s="12"/>
      <c r="E211" s="12"/>
      <c r="F211" s="12"/>
      <c r="G211" s="12"/>
      <c r="H211" s="13"/>
      <c r="I211" s="11"/>
      <c r="J211" s="11"/>
      <c r="K211" s="11"/>
      <c r="L211" s="11"/>
      <c r="M211" s="11"/>
      <c r="N211" s="11"/>
      <c r="O211" s="11"/>
      <c r="P211" s="11"/>
      <c r="Q211" s="11"/>
      <c r="R211" s="13"/>
      <c r="S211" s="13"/>
      <c r="T211" s="13"/>
      <c r="U211" s="13"/>
    </row>
    <row r="212" spans="1:21" x14ac:dyDescent="0.25">
      <c r="A212"/>
      <c r="B212" s="14"/>
      <c r="C212" s="12"/>
      <c r="D212" s="12"/>
      <c r="E212" s="12"/>
      <c r="F212" s="12"/>
      <c r="G212" s="12"/>
      <c r="H212" s="13"/>
      <c r="I212" s="11"/>
      <c r="J212" s="11"/>
      <c r="K212" s="11"/>
      <c r="L212" s="11"/>
      <c r="M212" s="11"/>
      <c r="N212" s="11"/>
      <c r="O212" s="11"/>
      <c r="P212" s="11"/>
      <c r="Q212" s="11"/>
      <c r="R212" s="13"/>
      <c r="S212" s="13"/>
      <c r="T212" s="13"/>
      <c r="U212" s="13"/>
    </row>
    <row r="213" spans="1:21" x14ac:dyDescent="0.25">
      <c r="A213"/>
      <c r="B213" s="14"/>
      <c r="C213" s="12"/>
      <c r="D213" s="12"/>
      <c r="E213" s="12"/>
      <c r="F213" s="12"/>
      <c r="G213" s="12"/>
      <c r="H213" s="13"/>
      <c r="I213" s="11"/>
      <c r="J213" s="11"/>
      <c r="K213" s="11"/>
      <c r="L213" s="11"/>
      <c r="M213" s="11"/>
      <c r="N213" s="11"/>
      <c r="O213" s="11"/>
      <c r="P213" s="11"/>
      <c r="Q213" s="11"/>
      <c r="R213" s="13"/>
      <c r="S213" s="13"/>
      <c r="T213" s="13"/>
      <c r="U213" s="13"/>
    </row>
    <row r="214" spans="1:21" x14ac:dyDescent="0.25">
      <c r="A214"/>
      <c r="B214" s="14"/>
      <c r="C214" s="12"/>
      <c r="D214" s="12"/>
      <c r="E214" s="12"/>
      <c r="F214" s="12"/>
      <c r="G214" s="12"/>
      <c r="H214" s="13"/>
      <c r="I214" s="11"/>
      <c r="J214" s="11"/>
      <c r="K214" s="11"/>
      <c r="L214" s="11"/>
      <c r="M214" s="11"/>
      <c r="N214" s="11"/>
      <c r="O214" s="11"/>
      <c r="P214" s="11"/>
      <c r="Q214" s="11"/>
      <c r="R214" s="13"/>
      <c r="S214" s="13"/>
      <c r="T214" s="13"/>
      <c r="U214" s="13"/>
    </row>
    <row r="215" spans="1:21" x14ac:dyDescent="0.25">
      <c r="A215"/>
      <c r="B215" s="14"/>
      <c r="C215" s="12"/>
      <c r="D215" s="12"/>
      <c r="E215" s="12"/>
      <c r="F215" s="12"/>
      <c r="G215" s="12"/>
      <c r="H215" s="13"/>
      <c r="I215" s="11"/>
      <c r="J215" s="11"/>
      <c r="K215" s="11"/>
      <c r="L215" s="11"/>
      <c r="M215" s="11"/>
      <c r="N215" s="11"/>
      <c r="O215" s="11"/>
      <c r="P215" s="11"/>
      <c r="Q215" s="11"/>
      <c r="R215" s="13"/>
      <c r="S215" s="13"/>
      <c r="T215" s="13"/>
      <c r="U215" s="13"/>
    </row>
    <row r="216" spans="1:21" x14ac:dyDescent="0.25">
      <c r="A216"/>
      <c r="B216" s="14"/>
      <c r="C216" s="12"/>
      <c r="D216" s="12"/>
      <c r="E216" s="12"/>
      <c r="F216" s="12"/>
      <c r="G216" s="12"/>
      <c r="H216" s="13"/>
      <c r="I216" s="11"/>
      <c r="J216" s="11"/>
      <c r="K216" s="11"/>
      <c r="L216" s="11"/>
      <c r="M216" s="11"/>
      <c r="N216" s="11"/>
      <c r="O216" s="11"/>
      <c r="P216" s="11"/>
      <c r="Q216" s="11"/>
      <c r="R216" s="13"/>
      <c r="S216" s="13"/>
      <c r="T216" s="13"/>
      <c r="U216" s="13"/>
    </row>
    <row r="217" spans="1:21" x14ac:dyDescent="0.25">
      <c r="A217"/>
      <c r="B217" s="14"/>
      <c r="C217" s="12"/>
      <c r="D217" s="12"/>
      <c r="E217" s="12"/>
      <c r="F217" s="12"/>
      <c r="G217" s="12"/>
      <c r="H217" s="13"/>
      <c r="I217" s="11"/>
      <c r="J217" s="11"/>
      <c r="K217" s="11"/>
      <c r="L217" s="11"/>
      <c r="M217" s="11"/>
      <c r="N217" s="11"/>
      <c r="O217" s="11"/>
      <c r="P217" s="11"/>
      <c r="Q217" s="11"/>
      <c r="R217" s="13"/>
      <c r="S217" s="13"/>
      <c r="T217" s="13"/>
      <c r="U217" s="13"/>
    </row>
    <row r="218" spans="1:21" x14ac:dyDescent="0.25">
      <c r="A218"/>
      <c r="B218" s="14"/>
      <c r="C218" s="12"/>
      <c r="D218" s="12"/>
      <c r="E218" s="12"/>
      <c r="F218" s="12"/>
      <c r="G218" s="12"/>
      <c r="H218" s="13"/>
      <c r="I218" s="11"/>
      <c r="J218" s="11"/>
      <c r="K218" s="11"/>
      <c r="L218" s="11"/>
      <c r="M218" s="11"/>
      <c r="N218" s="11"/>
      <c r="O218" s="11"/>
      <c r="P218" s="11"/>
      <c r="Q218" s="11"/>
      <c r="R218" s="13"/>
      <c r="S218" s="13"/>
      <c r="T218" s="13"/>
      <c r="U218" s="13"/>
    </row>
    <row r="219" spans="1:21" x14ac:dyDescent="0.25">
      <c r="A219"/>
      <c r="B219" s="14"/>
      <c r="C219" s="12"/>
      <c r="D219" s="12"/>
      <c r="E219" s="12"/>
      <c r="F219" s="12"/>
      <c r="G219" s="12"/>
      <c r="H219" s="13"/>
      <c r="I219" s="11"/>
      <c r="J219" s="11"/>
      <c r="K219" s="11"/>
      <c r="L219" s="11"/>
      <c r="M219" s="11"/>
      <c r="N219" s="11"/>
      <c r="O219" s="11"/>
      <c r="P219" s="11"/>
      <c r="Q219" s="11"/>
      <c r="R219" s="13"/>
      <c r="S219" s="13"/>
      <c r="T219" s="13"/>
      <c r="U219" s="13"/>
    </row>
    <row r="220" spans="1:21" x14ac:dyDescent="0.25">
      <c r="A220"/>
      <c r="B220" s="14"/>
      <c r="C220" s="12"/>
      <c r="D220" s="12"/>
      <c r="E220" s="12"/>
      <c r="F220" s="12"/>
      <c r="G220" s="12"/>
      <c r="H220" s="13"/>
      <c r="I220" s="11"/>
      <c r="J220" s="11"/>
      <c r="K220" s="11"/>
      <c r="L220" s="11"/>
      <c r="M220" s="11"/>
      <c r="N220" s="11"/>
      <c r="O220" s="11"/>
      <c r="P220" s="11"/>
      <c r="Q220" s="11"/>
      <c r="R220" s="13"/>
      <c r="S220" s="13"/>
      <c r="T220" s="13"/>
      <c r="U220" s="13"/>
    </row>
    <row r="221" spans="1:21" x14ac:dyDescent="0.25">
      <c r="A221"/>
      <c r="B221" s="14"/>
      <c r="C221" s="12"/>
      <c r="D221" s="12"/>
      <c r="E221" s="12"/>
      <c r="F221" s="12"/>
      <c r="G221" s="12"/>
      <c r="H221" s="13"/>
      <c r="I221" s="11"/>
      <c r="J221" s="11"/>
      <c r="K221" s="11"/>
      <c r="L221" s="11"/>
      <c r="M221" s="11"/>
      <c r="N221" s="11"/>
      <c r="O221" s="11"/>
      <c r="P221" s="11"/>
      <c r="Q221" s="11"/>
      <c r="R221" s="13"/>
      <c r="S221" s="13"/>
      <c r="T221" s="13"/>
      <c r="U221" s="13"/>
    </row>
    <row r="222" spans="1:21" x14ac:dyDescent="0.25">
      <c r="A222"/>
      <c r="B222" s="14"/>
      <c r="C222" s="12"/>
      <c r="D222" s="12"/>
      <c r="E222" s="12"/>
      <c r="F222" s="12"/>
      <c r="G222" s="12"/>
      <c r="H222" s="13"/>
      <c r="I222" s="11"/>
      <c r="J222" s="11"/>
      <c r="K222" s="11"/>
      <c r="L222" s="11"/>
      <c r="M222" s="11"/>
      <c r="N222" s="11"/>
      <c r="O222" s="11"/>
      <c r="P222" s="11"/>
      <c r="Q222" s="11"/>
      <c r="R222" s="13"/>
      <c r="S222" s="13"/>
      <c r="T222" s="13"/>
      <c r="U222" s="13"/>
    </row>
    <row r="223" spans="1:21" x14ac:dyDescent="0.25">
      <c r="A223"/>
      <c r="B223" s="14"/>
      <c r="C223" s="12"/>
      <c r="D223" s="12"/>
      <c r="E223" s="12"/>
      <c r="F223" s="12"/>
      <c r="G223" s="12"/>
      <c r="H223" s="13"/>
      <c r="I223" s="11"/>
      <c r="J223" s="11"/>
      <c r="K223" s="11"/>
      <c r="L223" s="11"/>
      <c r="M223" s="11"/>
      <c r="N223" s="11"/>
      <c r="O223" s="11"/>
      <c r="P223" s="11"/>
      <c r="Q223" s="11"/>
      <c r="R223" s="13"/>
      <c r="S223" s="13"/>
      <c r="T223" s="13"/>
      <c r="U223" s="13"/>
    </row>
    <row r="224" spans="1:21" x14ac:dyDescent="0.25">
      <c r="A224"/>
      <c r="B224" s="14"/>
      <c r="C224" s="12"/>
      <c r="D224" s="12"/>
      <c r="E224" s="12"/>
      <c r="F224" s="12"/>
      <c r="G224" s="12"/>
      <c r="H224" s="13"/>
      <c r="I224" s="11"/>
      <c r="J224" s="11"/>
      <c r="K224" s="11"/>
      <c r="L224" s="11"/>
      <c r="M224" s="11"/>
      <c r="N224" s="11"/>
      <c r="O224" s="11"/>
      <c r="P224" s="11"/>
      <c r="Q224" s="11"/>
      <c r="R224" s="13"/>
      <c r="S224" s="13"/>
      <c r="T224" s="13"/>
      <c r="U224" s="13"/>
    </row>
    <row r="225" spans="1:21" x14ac:dyDescent="0.25">
      <c r="A225"/>
      <c r="B225" s="14"/>
      <c r="C225" s="12"/>
      <c r="D225" s="12"/>
      <c r="E225" s="12"/>
      <c r="F225" s="12"/>
      <c r="G225" s="12"/>
      <c r="H225" s="13"/>
      <c r="I225" s="11"/>
      <c r="J225" s="11"/>
      <c r="K225" s="11"/>
      <c r="L225" s="11"/>
      <c r="M225" s="11"/>
      <c r="N225" s="11"/>
      <c r="O225" s="11"/>
      <c r="P225" s="11"/>
      <c r="Q225" s="11"/>
      <c r="R225" s="13"/>
      <c r="S225" s="13"/>
      <c r="T225" s="13"/>
      <c r="U225" s="13"/>
    </row>
    <row r="226" spans="1:21" x14ac:dyDescent="0.25">
      <c r="A226"/>
      <c r="B226" s="14"/>
      <c r="C226" s="12"/>
      <c r="D226" s="12"/>
      <c r="E226" s="12"/>
      <c r="F226" s="12"/>
      <c r="G226" s="12"/>
      <c r="H226" s="13"/>
      <c r="I226" s="11"/>
      <c r="J226" s="11"/>
      <c r="K226" s="11"/>
      <c r="L226" s="11"/>
      <c r="M226" s="11"/>
      <c r="N226" s="11"/>
      <c r="O226" s="11"/>
      <c r="P226" s="11"/>
      <c r="Q226" s="11"/>
      <c r="R226" s="13"/>
      <c r="S226" s="13"/>
      <c r="T226" s="13"/>
      <c r="U226" s="13"/>
    </row>
    <row r="227" spans="1:21" x14ac:dyDescent="0.25">
      <c r="A227"/>
      <c r="B227" s="14"/>
      <c r="C227" s="12"/>
      <c r="D227" s="12"/>
      <c r="E227" s="12"/>
      <c r="F227" s="12"/>
      <c r="G227" s="12"/>
      <c r="H227" s="13"/>
      <c r="I227" s="11"/>
      <c r="J227" s="11"/>
      <c r="K227" s="11"/>
      <c r="L227" s="11"/>
      <c r="M227" s="11"/>
      <c r="N227" s="11"/>
      <c r="O227" s="11"/>
      <c r="P227" s="11"/>
      <c r="Q227" s="11"/>
      <c r="R227" s="13"/>
      <c r="S227" s="13"/>
      <c r="T227" s="13"/>
      <c r="U227" s="13"/>
    </row>
    <row r="228" spans="1:21" x14ac:dyDescent="0.25">
      <c r="A228"/>
      <c r="B228" s="14"/>
      <c r="C228" s="12"/>
      <c r="D228" s="12"/>
      <c r="E228" s="12"/>
      <c r="F228" s="12"/>
      <c r="G228" s="12"/>
      <c r="H228" s="13"/>
      <c r="I228" s="11"/>
      <c r="J228" s="11"/>
      <c r="K228" s="11"/>
      <c r="L228" s="11"/>
      <c r="M228" s="11"/>
      <c r="N228" s="11"/>
      <c r="O228" s="11"/>
      <c r="P228" s="11"/>
      <c r="Q228" s="11"/>
      <c r="R228" s="13"/>
      <c r="S228" s="13"/>
      <c r="T228" s="13"/>
      <c r="U228" s="13"/>
    </row>
    <row r="229" spans="1:21" x14ac:dyDescent="0.25">
      <c r="A229"/>
      <c r="B229" s="14"/>
      <c r="C229" s="12"/>
      <c r="D229" s="12"/>
      <c r="E229" s="12"/>
      <c r="F229" s="12"/>
      <c r="G229" s="12"/>
      <c r="H229" s="13"/>
      <c r="I229" s="11"/>
      <c r="J229" s="11"/>
      <c r="K229" s="11"/>
      <c r="L229" s="11"/>
      <c r="M229" s="11"/>
      <c r="N229" s="11"/>
      <c r="O229" s="11"/>
      <c r="P229" s="11"/>
      <c r="Q229" s="11"/>
      <c r="R229" s="13"/>
      <c r="S229" s="13"/>
      <c r="T229" s="13"/>
      <c r="U229" s="13"/>
    </row>
    <row r="230" spans="1:21" x14ac:dyDescent="0.25">
      <c r="A230"/>
      <c r="B230" s="14"/>
      <c r="C230" s="12"/>
      <c r="D230" s="12"/>
      <c r="E230" s="12"/>
      <c r="F230" s="12"/>
      <c r="G230" s="12"/>
      <c r="H230" s="13"/>
      <c r="I230" s="11"/>
      <c r="J230" s="11"/>
      <c r="K230" s="11"/>
      <c r="L230" s="11"/>
      <c r="M230" s="11"/>
      <c r="N230" s="11"/>
      <c r="O230" s="11"/>
      <c r="P230" s="11"/>
      <c r="Q230" s="11"/>
      <c r="R230" s="13"/>
      <c r="S230" s="13"/>
      <c r="T230" s="13"/>
      <c r="U230" s="13"/>
    </row>
    <row r="231" spans="1:21" x14ac:dyDescent="0.25">
      <c r="A231"/>
      <c r="B231" s="14"/>
      <c r="C231" s="12"/>
      <c r="D231" s="12"/>
      <c r="E231" s="12"/>
      <c r="F231" s="12"/>
      <c r="G231" s="12"/>
      <c r="H231" s="13"/>
      <c r="I231" s="11"/>
      <c r="J231" s="11"/>
      <c r="K231" s="11"/>
      <c r="L231" s="11"/>
      <c r="M231" s="11"/>
      <c r="N231" s="11"/>
      <c r="O231" s="11"/>
      <c r="P231" s="11"/>
      <c r="Q231" s="11"/>
      <c r="R231" s="13"/>
      <c r="S231" s="13"/>
      <c r="T231" s="13"/>
      <c r="U231" s="13"/>
    </row>
    <row r="232" spans="1:21" x14ac:dyDescent="0.25">
      <c r="A232"/>
      <c r="B232" s="14"/>
      <c r="C232" s="12"/>
      <c r="D232" s="12"/>
      <c r="E232" s="12"/>
      <c r="F232" s="12"/>
      <c r="G232" s="12"/>
      <c r="H232" s="13"/>
      <c r="I232" s="11"/>
      <c r="J232" s="11"/>
      <c r="K232" s="11"/>
      <c r="L232" s="11"/>
      <c r="M232" s="11"/>
      <c r="N232" s="11"/>
      <c r="O232" s="11"/>
      <c r="P232" s="11"/>
      <c r="Q232" s="11"/>
      <c r="R232" s="13"/>
      <c r="S232" s="13"/>
      <c r="T232" s="13"/>
      <c r="U232" s="13"/>
    </row>
    <row r="233" spans="1:21" x14ac:dyDescent="0.25">
      <c r="A233"/>
      <c r="B233" s="14"/>
      <c r="C233" s="12"/>
      <c r="D233" s="12"/>
      <c r="E233" s="12"/>
      <c r="F233" s="12"/>
      <c r="G233" s="12"/>
      <c r="H233" s="13"/>
      <c r="I233" s="11"/>
      <c r="J233" s="11"/>
      <c r="K233" s="11"/>
      <c r="L233" s="11"/>
      <c r="M233" s="11"/>
      <c r="N233" s="11"/>
      <c r="O233" s="11"/>
      <c r="P233" s="11"/>
      <c r="Q233" s="11"/>
      <c r="R233" s="13"/>
      <c r="S233" s="13"/>
      <c r="T233" s="13"/>
      <c r="U233" s="13"/>
    </row>
    <row r="234" spans="1:21" x14ac:dyDescent="0.25">
      <c r="A234"/>
      <c r="B234" s="14"/>
      <c r="C234" s="12"/>
      <c r="D234" s="12"/>
      <c r="E234" s="12"/>
      <c r="F234" s="12"/>
      <c r="G234" s="12"/>
      <c r="H234" s="13"/>
      <c r="I234" s="11"/>
      <c r="J234" s="11"/>
      <c r="K234" s="11"/>
      <c r="L234" s="11"/>
      <c r="M234" s="11"/>
      <c r="N234" s="11"/>
      <c r="O234" s="11"/>
      <c r="P234" s="11"/>
      <c r="Q234" s="11"/>
      <c r="R234" s="13"/>
      <c r="S234" s="13"/>
      <c r="T234" s="13"/>
      <c r="U234" s="13"/>
    </row>
    <row r="235" spans="1:21" x14ac:dyDescent="0.25">
      <c r="A235"/>
      <c r="B235" s="14"/>
      <c r="C235" s="12"/>
      <c r="D235" s="12"/>
      <c r="E235" s="12"/>
      <c r="F235" s="12"/>
      <c r="G235" s="12"/>
      <c r="H235" s="13"/>
      <c r="I235" s="11"/>
      <c r="J235" s="11"/>
      <c r="K235" s="11"/>
      <c r="L235" s="11"/>
      <c r="M235" s="11"/>
      <c r="N235" s="11"/>
      <c r="O235" s="11"/>
      <c r="P235" s="11"/>
      <c r="Q235" s="11"/>
      <c r="R235" s="13"/>
      <c r="S235" s="13"/>
      <c r="T235" s="13"/>
      <c r="U235" s="13"/>
    </row>
    <row r="236" spans="1:21" x14ac:dyDescent="0.25">
      <c r="A236"/>
      <c r="B236" s="14"/>
      <c r="C236" s="12"/>
      <c r="D236" s="12"/>
      <c r="E236" s="12"/>
      <c r="F236" s="12"/>
      <c r="G236" s="12"/>
      <c r="H236" s="13"/>
      <c r="I236" s="11"/>
      <c r="J236" s="11"/>
      <c r="K236" s="11"/>
      <c r="L236" s="11"/>
      <c r="M236" s="11"/>
      <c r="N236" s="11"/>
      <c r="O236" s="11"/>
      <c r="P236" s="11"/>
      <c r="Q236" s="11"/>
      <c r="R236" s="13"/>
      <c r="S236" s="13"/>
      <c r="T236" s="13"/>
      <c r="U236" s="13"/>
    </row>
    <row r="237" spans="1:21" x14ac:dyDescent="0.25">
      <c r="A237"/>
      <c r="B237" s="14"/>
      <c r="C237" s="12"/>
      <c r="D237" s="12"/>
      <c r="E237" s="12"/>
      <c r="F237" s="12"/>
      <c r="G237" s="12"/>
      <c r="H237" s="13"/>
      <c r="I237" s="11"/>
      <c r="J237" s="11"/>
      <c r="K237" s="11"/>
      <c r="L237" s="11"/>
      <c r="M237" s="11"/>
      <c r="N237" s="11"/>
      <c r="O237" s="11"/>
      <c r="P237" s="11"/>
      <c r="Q237" s="11"/>
      <c r="R237" s="13"/>
      <c r="S237" s="13"/>
      <c r="T237" s="13"/>
      <c r="U237" s="13"/>
    </row>
    <row r="238" spans="1:21" x14ac:dyDescent="0.25">
      <c r="A238"/>
      <c r="B238" s="14"/>
      <c r="C238" s="12"/>
      <c r="D238" s="12"/>
      <c r="E238" s="12"/>
      <c r="F238" s="12"/>
      <c r="G238" s="12"/>
      <c r="H238" s="13"/>
      <c r="I238" s="11"/>
      <c r="J238" s="11"/>
      <c r="K238" s="11"/>
      <c r="L238" s="11"/>
      <c r="M238" s="11"/>
      <c r="N238" s="11"/>
      <c r="O238" s="11"/>
      <c r="P238" s="11"/>
      <c r="Q238" s="11"/>
      <c r="R238" s="13"/>
      <c r="S238" s="13"/>
      <c r="T238" s="13"/>
      <c r="U238" s="13"/>
    </row>
    <row r="239" spans="1:21" x14ac:dyDescent="0.25">
      <c r="A239"/>
      <c r="B239" s="14"/>
      <c r="C239" s="12"/>
      <c r="D239" s="12"/>
      <c r="E239" s="12"/>
      <c r="F239" s="12"/>
      <c r="G239" s="12"/>
      <c r="H239" s="13"/>
      <c r="I239" s="11"/>
      <c r="J239" s="11"/>
      <c r="K239" s="11"/>
      <c r="L239" s="11"/>
      <c r="M239" s="11"/>
      <c r="N239" s="11"/>
      <c r="O239" s="11"/>
      <c r="P239" s="11"/>
      <c r="Q239" s="11"/>
      <c r="R239" s="13"/>
      <c r="S239" s="13"/>
      <c r="T239" s="13"/>
      <c r="U239" s="13"/>
    </row>
    <row r="240" spans="1:21" x14ac:dyDescent="0.25">
      <c r="A240"/>
      <c r="B240" s="14"/>
      <c r="C240" s="12"/>
      <c r="D240" s="12"/>
      <c r="E240" s="12"/>
      <c r="F240" s="12"/>
      <c r="G240" s="12"/>
      <c r="H240" s="13"/>
      <c r="I240" s="11"/>
      <c r="J240" s="11"/>
      <c r="K240" s="11"/>
      <c r="L240" s="11"/>
      <c r="M240" s="11"/>
      <c r="N240" s="11"/>
      <c r="O240" s="11"/>
      <c r="P240" s="11"/>
      <c r="Q240" s="11"/>
      <c r="R240" s="13"/>
      <c r="S240" s="13"/>
      <c r="T240" s="13"/>
      <c r="U240" s="13"/>
    </row>
    <row r="241" spans="1:21" x14ac:dyDescent="0.25">
      <c r="A241"/>
      <c r="B241" s="14"/>
      <c r="C241" s="12"/>
      <c r="D241" s="12"/>
      <c r="E241" s="12"/>
      <c r="F241" s="12"/>
      <c r="G241" s="12"/>
      <c r="H241" s="13"/>
      <c r="I241" s="11"/>
      <c r="J241" s="11"/>
      <c r="K241" s="11"/>
      <c r="L241" s="11"/>
      <c r="M241" s="11"/>
      <c r="N241" s="11"/>
      <c r="O241" s="11"/>
      <c r="P241" s="11"/>
      <c r="Q241" s="11"/>
      <c r="R241" s="13"/>
      <c r="S241" s="13"/>
      <c r="T241" s="13"/>
      <c r="U241" s="13"/>
    </row>
    <row r="242" spans="1:21" x14ac:dyDescent="0.25">
      <c r="A242"/>
      <c r="B242" s="14"/>
      <c r="C242" s="12"/>
      <c r="D242" s="12"/>
      <c r="E242" s="12"/>
      <c r="F242" s="12"/>
      <c r="G242" s="12"/>
      <c r="H242" s="13"/>
      <c r="I242" s="11"/>
      <c r="J242" s="11"/>
      <c r="K242" s="11"/>
      <c r="L242" s="11"/>
      <c r="M242" s="11"/>
      <c r="N242" s="11"/>
      <c r="O242" s="11"/>
      <c r="P242" s="11"/>
      <c r="Q242" s="11"/>
      <c r="R242" s="13"/>
      <c r="S242" s="13"/>
      <c r="T242" s="13"/>
      <c r="U242" s="13"/>
    </row>
    <row r="243" spans="1:21" x14ac:dyDescent="0.25">
      <c r="A243"/>
      <c r="B243" s="14"/>
      <c r="C243" s="12"/>
      <c r="D243" s="12"/>
      <c r="E243" s="12"/>
      <c r="F243" s="12"/>
      <c r="G243" s="12"/>
      <c r="H243" s="13"/>
      <c r="I243" s="11"/>
      <c r="J243" s="11"/>
      <c r="K243" s="11"/>
      <c r="L243" s="11"/>
      <c r="M243" s="11"/>
      <c r="N243" s="11"/>
      <c r="O243" s="11"/>
      <c r="P243" s="11"/>
      <c r="Q243" s="11"/>
      <c r="R243" s="13"/>
      <c r="S243" s="13"/>
      <c r="T243" s="13"/>
      <c r="U243" s="13"/>
    </row>
    <row r="244" spans="1:21" x14ac:dyDescent="0.25">
      <c r="A244"/>
      <c r="B244" s="14"/>
      <c r="C244" s="12"/>
      <c r="D244" s="12"/>
      <c r="E244" s="12"/>
      <c r="F244" s="12"/>
      <c r="G244" s="12"/>
      <c r="H244" s="13"/>
      <c r="I244" s="11"/>
      <c r="J244" s="11"/>
      <c r="K244" s="11"/>
      <c r="L244" s="11"/>
      <c r="M244" s="11"/>
      <c r="N244" s="11"/>
      <c r="O244" s="11"/>
      <c r="P244" s="11"/>
      <c r="Q244" s="11"/>
      <c r="R244" s="13"/>
      <c r="S244" s="13"/>
      <c r="T244" s="13"/>
      <c r="U244" s="13"/>
    </row>
    <row r="245" spans="1:21" x14ac:dyDescent="0.25">
      <c r="A245"/>
      <c r="B245" s="14"/>
      <c r="C245" s="12"/>
      <c r="D245" s="12"/>
      <c r="E245" s="12"/>
      <c r="F245" s="12"/>
      <c r="G245" s="12"/>
      <c r="H245" s="13"/>
      <c r="I245" s="11"/>
      <c r="J245" s="11"/>
      <c r="K245" s="11"/>
      <c r="L245" s="11"/>
      <c r="M245" s="11"/>
      <c r="N245" s="11"/>
      <c r="O245" s="11"/>
      <c r="P245" s="11"/>
      <c r="Q245" s="11"/>
      <c r="R245" s="13"/>
      <c r="S245" s="13"/>
      <c r="T245" s="13"/>
      <c r="U245" s="13"/>
    </row>
    <row r="246" spans="1:21" x14ac:dyDescent="0.25">
      <c r="A246"/>
      <c r="B246" s="14"/>
      <c r="C246" s="12"/>
      <c r="D246" s="12"/>
      <c r="E246" s="12"/>
      <c r="F246" s="12"/>
      <c r="G246" s="12"/>
      <c r="H246" s="13"/>
      <c r="I246" s="11"/>
      <c r="J246" s="11"/>
      <c r="K246" s="11"/>
      <c r="L246" s="11"/>
      <c r="M246" s="11"/>
      <c r="N246" s="11"/>
      <c r="O246" s="11"/>
      <c r="P246" s="11"/>
      <c r="Q246" s="11"/>
      <c r="R246" s="13"/>
      <c r="S246" s="13"/>
      <c r="T246" s="13"/>
      <c r="U246" s="13"/>
    </row>
    <row r="247" spans="1:21" x14ac:dyDescent="0.25">
      <c r="A247"/>
      <c r="B247" s="14"/>
      <c r="C247" s="12"/>
      <c r="D247" s="12"/>
      <c r="E247" s="12"/>
      <c r="F247" s="12"/>
      <c r="G247" s="12"/>
      <c r="H247" s="13"/>
      <c r="I247" s="11"/>
      <c r="J247" s="11"/>
      <c r="K247" s="11"/>
      <c r="L247" s="11"/>
      <c r="M247" s="11"/>
      <c r="N247" s="11"/>
      <c r="O247" s="11"/>
      <c r="P247" s="11"/>
      <c r="Q247" s="11"/>
      <c r="R247" s="13"/>
      <c r="S247" s="13"/>
      <c r="T247" s="13"/>
      <c r="U247" s="13"/>
    </row>
    <row r="248" spans="1:21" x14ac:dyDescent="0.25">
      <c r="A248"/>
      <c r="B248" s="14"/>
      <c r="C248" s="12"/>
      <c r="D248" s="12"/>
      <c r="E248" s="12"/>
      <c r="F248" s="12"/>
      <c r="G248" s="12"/>
      <c r="H248" s="13"/>
      <c r="I248" s="11"/>
      <c r="J248" s="11"/>
      <c r="K248" s="11"/>
      <c r="L248" s="11"/>
      <c r="M248" s="11"/>
      <c r="N248" s="11"/>
      <c r="O248" s="11"/>
      <c r="P248" s="11"/>
      <c r="Q248" s="11"/>
      <c r="R248" s="13"/>
      <c r="S248" s="13"/>
      <c r="T248" s="13"/>
      <c r="U248" s="13"/>
    </row>
    <row r="249" spans="1:21" x14ac:dyDescent="0.25">
      <c r="A249"/>
      <c r="B249" s="14"/>
      <c r="C249" s="12"/>
      <c r="D249" s="12"/>
      <c r="E249" s="12"/>
      <c r="F249" s="12"/>
      <c r="G249" s="12"/>
      <c r="H249" s="13"/>
      <c r="I249" s="11"/>
      <c r="J249" s="11"/>
      <c r="K249" s="11"/>
      <c r="L249" s="11"/>
      <c r="M249" s="11"/>
      <c r="N249" s="11"/>
      <c r="O249" s="11"/>
      <c r="P249" s="11"/>
      <c r="Q249" s="11"/>
      <c r="R249" s="13"/>
      <c r="S249" s="13"/>
      <c r="T249" s="13"/>
      <c r="U249" s="13"/>
    </row>
    <row r="250" spans="1:21" x14ac:dyDescent="0.25">
      <c r="A250"/>
      <c r="B250" s="14"/>
      <c r="C250" s="12"/>
      <c r="D250" s="12"/>
      <c r="E250" s="12"/>
      <c r="F250" s="12"/>
      <c r="G250" s="12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</sheetData>
  <mergeCells count="23">
    <mergeCell ref="A6:U6"/>
    <mergeCell ref="A7:U7"/>
    <mergeCell ref="A8:A12"/>
    <mergeCell ref="B8:B12"/>
    <mergeCell ref="C8:G9"/>
    <mergeCell ref="H8:H12"/>
    <mergeCell ref="I8:K9"/>
    <mergeCell ref="L8:N9"/>
    <mergeCell ref="O8:Q9"/>
    <mergeCell ref="R8:S9"/>
    <mergeCell ref="T8:T12"/>
    <mergeCell ref="U8:U12"/>
    <mergeCell ref="I10:I12"/>
    <mergeCell ref="J10:J12"/>
    <mergeCell ref="K10:K12"/>
    <mergeCell ref="L10:L12"/>
    <mergeCell ref="R10:R12"/>
    <mergeCell ref="S10:S12"/>
    <mergeCell ref="M10:M12"/>
    <mergeCell ref="N10:N12"/>
    <mergeCell ref="O10:O12"/>
    <mergeCell ref="P10:P12"/>
    <mergeCell ref="Q10:Q12"/>
  </mergeCells>
  <pageMargins left="0.01" right="0.01" top="0.80000000000000016" bottom="0.40000000000000008" header="0.5" footer="0.5"/>
  <pageSetup paperSize="9" fitToHeight="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50"/>
  <sheetViews>
    <sheetView zoomScale="55" zoomScaleNormal="55" workbookViewId="0">
      <selection activeCell="AA35" sqref="AA35"/>
    </sheetView>
  </sheetViews>
  <sheetFormatPr defaultRowHeight="13.2" x14ac:dyDescent="0.25"/>
  <cols>
    <col min="1" max="1" width="5" style="20" customWidth="1"/>
    <col min="2" max="2" width="6.88671875" style="31" customWidth="1"/>
    <col min="3" max="3" width="6.33203125" style="1" customWidth="1"/>
    <col min="4" max="4" width="6" style="1" customWidth="1"/>
    <col min="5" max="5" width="5.5546875" style="1" customWidth="1"/>
    <col min="6" max="6" width="5.33203125" style="1" customWidth="1"/>
    <col min="7" max="7" width="5.6640625" style="1" customWidth="1"/>
    <col min="8" max="8" width="7.109375" style="2" customWidth="1"/>
    <col min="9" max="9" width="12.109375" style="2" customWidth="1"/>
    <col min="10" max="10" width="9.88671875" style="2" customWidth="1"/>
    <col min="11" max="11" width="13.33203125" style="2" customWidth="1"/>
    <col min="12" max="12" width="14" style="2" customWidth="1"/>
    <col min="13" max="13" width="10.88671875" style="2" customWidth="1"/>
    <col min="14" max="14" width="14.44140625" style="2" customWidth="1"/>
    <col min="15" max="15" width="15.88671875" style="2" customWidth="1"/>
    <col min="16" max="16" width="13.5546875" style="2" customWidth="1"/>
    <col min="17" max="17" width="16.109375" style="2" customWidth="1"/>
    <col min="18" max="18" width="7.6640625" style="2" customWidth="1"/>
    <col min="19" max="19" width="6.88671875" style="2" customWidth="1"/>
    <col min="20" max="20" width="7.33203125" style="2" customWidth="1"/>
    <col min="21" max="21" width="5.5546875" style="2" customWidth="1"/>
  </cols>
  <sheetData>
    <row r="1" spans="1:21" s="5" customFormat="1" ht="15.75" customHeight="1" x14ac:dyDescent="0.3">
      <c r="A1" s="17"/>
      <c r="B1" s="28"/>
      <c r="D1" s="6"/>
      <c r="E1" s="6"/>
      <c r="F1" s="6"/>
      <c r="G1" s="6"/>
      <c r="H1" s="6"/>
      <c r="R1" s="7"/>
      <c r="S1" s="7"/>
      <c r="T1" s="7"/>
      <c r="U1" s="8" t="s">
        <v>1</v>
      </c>
    </row>
    <row r="2" spans="1:21" s="5" customFormat="1" ht="15.75" customHeight="1" x14ac:dyDescent="0.3">
      <c r="A2" s="18"/>
      <c r="B2" s="28"/>
      <c r="C2" s="6"/>
      <c r="D2" s="6"/>
      <c r="E2" s="6"/>
      <c r="F2" s="6"/>
      <c r="G2" s="6"/>
      <c r="H2" s="6"/>
      <c r="R2" s="7"/>
      <c r="S2" s="7"/>
      <c r="T2" s="7"/>
      <c r="U2" s="8" t="s">
        <v>2</v>
      </c>
    </row>
    <row r="3" spans="1:21" s="5" customFormat="1" ht="15.75" customHeight="1" x14ac:dyDescent="0.3">
      <c r="A3" s="26" t="s">
        <v>146</v>
      </c>
      <c r="B3" s="28"/>
      <c r="C3" s="6"/>
      <c r="D3" s="9"/>
      <c r="E3" s="9"/>
      <c r="F3" s="9"/>
      <c r="G3" s="9"/>
      <c r="H3" s="6"/>
      <c r="R3" s="7"/>
      <c r="S3" s="7"/>
      <c r="T3" s="7"/>
      <c r="U3" s="8" t="s">
        <v>147</v>
      </c>
    </row>
    <row r="4" spans="1:21" s="5" customFormat="1" ht="15.75" customHeight="1" x14ac:dyDescent="0.3">
      <c r="A4" s="18"/>
      <c r="B4" s="28"/>
      <c r="C4" s="6"/>
      <c r="D4" s="6"/>
      <c r="E4" s="6"/>
      <c r="F4" s="6"/>
      <c r="G4" s="6"/>
      <c r="H4" s="6"/>
      <c r="R4" s="7"/>
      <c r="S4" s="7"/>
      <c r="T4" s="7"/>
      <c r="U4" s="8" t="s">
        <v>149</v>
      </c>
    </row>
    <row r="5" spans="1:21" s="5" customFormat="1" ht="15.75" customHeight="1" x14ac:dyDescent="0.3">
      <c r="A5" s="18"/>
      <c r="B5" s="28"/>
      <c r="C5" s="6"/>
      <c r="D5" s="6"/>
      <c r="E5" s="6"/>
      <c r="F5" s="6"/>
      <c r="G5" s="6"/>
      <c r="H5" s="6"/>
      <c r="U5" s="10"/>
    </row>
    <row r="6" spans="1:21" x14ac:dyDescent="0.25">
      <c r="A6" s="35" t="s">
        <v>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13.5" customHeight="1" thickBot="1" x14ac:dyDescent="0.3">
      <c r="A7" s="36" t="s">
        <v>148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ht="18" customHeight="1" x14ac:dyDescent="0.25">
      <c r="A8" s="37" t="s">
        <v>4</v>
      </c>
      <c r="B8" s="40" t="s">
        <v>5</v>
      </c>
      <c r="C8" s="43" t="s">
        <v>0</v>
      </c>
      <c r="D8" s="44"/>
      <c r="E8" s="44"/>
      <c r="F8" s="44"/>
      <c r="G8" s="45"/>
      <c r="H8" s="49" t="s">
        <v>6</v>
      </c>
      <c r="I8" s="43" t="s">
        <v>7</v>
      </c>
      <c r="J8" s="44"/>
      <c r="K8" s="45"/>
      <c r="L8" s="43" t="s">
        <v>8</v>
      </c>
      <c r="M8" s="44"/>
      <c r="N8" s="45"/>
      <c r="O8" s="43" t="s">
        <v>9</v>
      </c>
      <c r="P8" s="44"/>
      <c r="Q8" s="45"/>
      <c r="R8" s="52" t="s">
        <v>10</v>
      </c>
      <c r="S8" s="53"/>
      <c r="T8" s="49" t="s">
        <v>11</v>
      </c>
      <c r="U8" s="49" t="s">
        <v>12</v>
      </c>
    </row>
    <row r="9" spans="1:21" ht="13.5" customHeight="1" thickBot="1" x14ac:dyDescent="0.3">
      <c r="A9" s="38"/>
      <c r="B9" s="41"/>
      <c r="C9" s="46"/>
      <c r="D9" s="47"/>
      <c r="E9" s="47"/>
      <c r="F9" s="47"/>
      <c r="G9" s="48"/>
      <c r="H9" s="50"/>
      <c r="I9" s="46"/>
      <c r="J9" s="47"/>
      <c r="K9" s="48"/>
      <c r="L9" s="46"/>
      <c r="M9" s="47"/>
      <c r="N9" s="48"/>
      <c r="O9" s="46"/>
      <c r="P9" s="47"/>
      <c r="Q9" s="48"/>
      <c r="R9" s="54"/>
      <c r="S9" s="55"/>
      <c r="T9" s="50"/>
      <c r="U9" s="50"/>
    </row>
    <row r="10" spans="1:21" ht="12.75" customHeight="1" x14ac:dyDescent="0.25">
      <c r="A10" s="38"/>
      <c r="B10" s="41"/>
      <c r="C10" s="4" t="s">
        <v>13</v>
      </c>
      <c r="D10" s="4" t="s">
        <v>13</v>
      </c>
      <c r="E10" s="4" t="s">
        <v>13</v>
      </c>
      <c r="F10" s="4" t="s">
        <v>14</v>
      </c>
      <c r="G10" s="4" t="s">
        <v>14</v>
      </c>
      <c r="H10" s="50"/>
      <c r="I10" s="32" t="s">
        <v>15</v>
      </c>
      <c r="J10" s="32" t="s">
        <v>16</v>
      </c>
      <c r="K10" s="32" t="s">
        <v>17</v>
      </c>
      <c r="L10" s="32" t="s">
        <v>15</v>
      </c>
      <c r="M10" s="32" t="s">
        <v>16</v>
      </c>
      <c r="N10" s="32" t="s">
        <v>17</v>
      </c>
      <c r="O10" s="32" t="s">
        <v>15</v>
      </c>
      <c r="P10" s="32" t="s">
        <v>16</v>
      </c>
      <c r="Q10" s="32" t="s">
        <v>17</v>
      </c>
      <c r="R10" s="32" t="s">
        <v>18</v>
      </c>
      <c r="S10" s="32" t="s">
        <v>19</v>
      </c>
      <c r="T10" s="50"/>
      <c r="U10" s="50"/>
    </row>
    <row r="11" spans="1:21" x14ac:dyDescent="0.25">
      <c r="A11" s="38"/>
      <c r="B11" s="41"/>
      <c r="C11" s="4" t="s">
        <v>20</v>
      </c>
      <c r="D11" s="4" t="s">
        <v>21</v>
      </c>
      <c r="E11" s="4" t="s">
        <v>22</v>
      </c>
      <c r="F11" s="4" t="s">
        <v>23</v>
      </c>
      <c r="G11" s="4" t="s">
        <v>24</v>
      </c>
      <c r="H11" s="50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50"/>
      <c r="U11" s="50"/>
    </row>
    <row r="12" spans="1:21" ht="13.5" customHeight="1" thickBot="1" x14ac:dyDescent="0.3">
      <c r="A12" s="39"/>
      <c r="B12" s="42"/>
      <c r="C12" s="3" t="s">
        <v>25</v>
      </c>
      <c r="D12" s="3" t="s">
        <v>25</v>
      </c>
      <c r="E12" s="3" t="s">
        <v>25</v>
      </c>
      <c r="F12" s="3" t="s">
        <v>26</v>
      </c>
      <c r="G12" s="3" t="s">
        <v>26</v>
      </c>
      <c r="H12" s="5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51"/>
      <c r="U12" s="51"/>
    </row>
    <row r="13" spans="1:21" ht="13.5" customHeight="1" thickBot="1" x14ac:dyDescent="0.3">
      <c r="A13" s="19"/>
      <c r="B13" s="29"/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  <c r="L13" s="3">
        <v>10</v>
      </c>
      <c r="M13" s="3">
        <v>11</v>
      </c>
      <c r="N13" s="3">
        <v>12</v>
      </c>
      <c r="O13" s="3">
        <v>13</v>
      </c>
      <c r="P13" s="3">
        <v>14</v>
      </c>
      <c r="Q13" s="3">
        <v>15</v>
      </c>
      <c r="R13" s="3">
        <v>16</v>
      </c>
      <c r="S13" s="3">
        <v>17</v>
      </c>
      <c r="T13" s="3">
        <v>18</v>
      </c>
      <c r="U13" s="3">
        <v>19</v>
      </c>
    </row>
    <row r="14" spans="1:21" x14ac:dyDescent="0.25">
      <c r="A14" s="20" t="s">
        <v>27</v>
      </c>
      <c r="B14" s="30"/>
      <c r="C14" s="12"/>
      <c r="D14" s="12"/>
      <c r="E14" s="12"/>
      <c r="F14" s="12"/>
      <c r="G14" s="12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3"/>
      <c r="S14" s="13"/>
      <c r="T14" s="13"/>
      <c r="U14" s="13"/>
    </row>
    <row r="15" spans="1:21" ht="14.4" x14ac:dyDescent="0.3">
      <c r="A15" s="21">
        <v>1</v>
      </c>
      <c r="B15" s="13">
        <v>1334</v>
      </c>
      <c r="C15" s="12">
        <v>4</v>
      </c>
      <c r="D15" s="12">
        <v>6</v>
      </c>
      <c r="E15" s="12">
        <v>3.0999999046325701</v>
      </c>
      <c r="F15" s="12">
        <v>-14</v>
      </c>
      <c r="G15" s="12">
        <v>-17</v>
      </c>
      <c r="H15" s="13">
        <v>21</v>
      </c>
      <c r="I15">
        <v>1263.42112</v>
      </c>
      <c r="J15">
        <v>0</v>
      </c>
      <c r="K15">
        <v>1263.42112</v>
      </c>
      <c r="L15">
        <v>14394.722400000001</v>
      </c>
      <c r="M15">
        <v>0.32591999999999999</v>
      </c>
      <c r="N15">
        <v>14395.04832</v>
      </c>
      <c r="O15">
        <v>8422120.7487000003</v>
      </c>
      <c r="P15">
        <v>9245.5084399999996</v>
      </c>
      <c r="Q15">
        <v>8431366.2571399994</v>
      </c>
      <c r="R15" s="13">
        <v>744</v>
      </c>
      <c r="S15" s="13">
        <v>0</v>
      </c>
      <c r="T15" s="13">
        <v>744</v>
      </c>
      <c r="U15" s="13">
        <v>0</v>
      </c>
    </row>
    <row r="16" spans="1:21" ht="14.4" x14ac:dyDescent="0.3">
      <c r="A16" s="21">
        <v>2</v>
      </c>
      <c r="B16" s="13">
        <v>1335</v>
      </c>
      <c r="C16" s="12">
        <v>4.0999999046325701</v>
      </c>
      <c r="D16" s="12"/>
      <c r="E16" s="12">
        <v>3.0999999046325701</v>
      </c>
      <c r="F16" s="12">
        <v>-13</v>
      </c>
      <c r="G16" s="12">
        <v>-17</v>
      </c>
      <c r="H16" s="13">
        <v>31</v>
      </c>
      <c r="I16">
        <v>1891.04216</v>
      </c>
      <c r="J16">
        <v>0</v>
      </c>
      <c r="K16">
        <v>1891.04216</v>
      </c>
      <c r="L16">
        <v>23733.577819999999</v>
      </c>
      <c r="M16">
        <v>10.227679999999999</v>
      </c>
      <c r="N16">
        <v>23743.805500000002</v>
      </c>
      <c r="O16">
        <v>11919674.018100001</v>
      </c>
      <c r="P16">
        <v>8322.0296400000007</v>
      </c>
      <c r="Q16">
        <v>11927996.047740001</v>
      </c>
      <c r="R16" s="13">
        <v>744</v>
      </c>
      <c r="S16" s="13">
        <v>0</v>
      </c>
      <c r="T16" s="13">
        <v>744</v>
      </c>
      <c r="U16" s="13">
        <v>0</v>
      </c>
    </row>
    <row r="17" spans="1:21" ht="14.4" x14ac:dyDescent="0.3">
      <c r="A17" s="21">
        <v>3</v>
      </c>
      <c r="B17" s="13">
        <v>1337</v>
      </c>
      <c r="C17" s="12">
        <v>4.0999999046325701</v>
      </c>
      <c r="D17" s="12">
        <v>5.9000000953674299</v>
      </c>
      <c r="E17" s="12">
        <v>3.0999999046325701</v>
      </c>
      <c r="F17" s="12">
        <v>-5.0999999999999996</v>
      </c>
      <c r="G17" s="12">
        <v>-17</v>
      </c>
      <c r="H17" s="13">
        <v>35</v>
      </c>
      <c r="I17">
        <v>2091.9699000000001</v>
      </c>
      <c r="J17">
        <v>0</v>
      </c>
      <c r="K17">
        <v>2091.9699000000001</v>
      </c>
      <c r="L17">
        <v>24260.74178</v>
      </c>
      <c r="M17">
        <v>0.33949999999999997</v>
      </c>
      <c r="N17">
        <v>24261.081279999999</v>
      </c>
      <c r="O17">
        <v>11509337.1006</v>
      </c>
      <c r="P17">
        <v>7343.4839400000001</v>
      </c>
      <c r="Q17">
        <v>11516680.58454</v>
      </c>
      <c r="R17" s="13">
        <v>744</v>
      </c>
      <c r="S17" s="13">
        <v>0</v>
      </c>
      <c r="T17" s="13">
        <v>744</v>
      </c>
      <c r="U17" s="13">
        <v>0</v>
      </c>
    </row>
    <row r="18" spans="1:21" ht="14.4" x14ac:dyDescent="0.3">
      <c r="A18" s="21">
        <v>4</v>
      </c>
      <c r="B18" s="13">
        <v>1338</v>
      </c>
      <c r="C18" s="12">
        <v>4</v>
      </c>
      <c r="D18" s="12">
        <v>6.1999998092651403</v>
      </c>
      <c r="E18" s="12">
        <v>3.0999999046325701</v>
      </c>
      <c r="F18" s="12">
        <v>-12</v>
      </c>
      <c r="G18" s="12">
        <v>-17</v>
      </c>
      <c r="H18" s="13">
        <v>45</v>
      </c>
      <c r="I18">
        <v>2722.1168200000002</v>
      </c>
      <c r="J18">
        <v>0</v>
      </c>
      <c r="K18">
        <v>2722.1168200000002</v>
      </c>
      <c r="L18">
        <v>28256.9342</v>
      </c>
      <c r="M18">
        <v>0.18429999999999999</v>
      </c>
      <c r="N18">
        <v>28257.118499999997</v>
      </c>
      <c r="O18">
        <v>11943002.37648</v>
      </c>
      <c r="P18">
        <v>7605.6128599999993</v>
      </c>
      <c r="Q18">
        <v>11950607.98934</v>
      </c>
      <c r="R18" s="13">
        <v>744</v>
      </c>
      <c r="S18" s="13">
        <v>0</v>
      </c>
      <c r="T18" s="13">
        <v>744</v>
      </c>
      <c r="U18" s="13">
        <v>0</v>
      </c>
    </row>
    <row r="19" spans="1:21" ht="14.4" x14ac:dyDescent="0.3">
      <c r="A19" s="21">
        <v>5</v>
      </c>
      <c r="B19" s="13">
        <v>1340</v>
      </c>
      <c r="C19" s="12">
        <v>4.0999999046325701</v>
      </c>
      <c r="D19" s="12">
        <v>2.5</v>
      </c>
      <c r="E19" s="12">
        <v>3.0999999046325701</v>
      </c>
      <c r="F19" s="12">
        <v>-4</v>
      </c>
      <c r="G19" s="12">
        <v>-17</v>
      </c>
      <c r="H19" s="13">
        <v>75</v>
      </c>
      <c r="I19">
        <v>4492.7587000000003</v>
      </c>
      <c r="J19">
        <v>0</v>
      </c>
      <c r="K19">
        <v>4492.7587000000003</v>
      </c>
      <c r="L19">
        <v>49599.198179999999</v>
      </c>
      <c r="M19">
        <v>0.34143999999999997</v>
      </c>
      <c r="N19">
        <v>49599.539620000003</v>
      </c>
      <c r="O19">
        <v>12812150.60348</v>
      </c>
      <c r="P19">
        <v>7087.9839999999995</v>
      </c>
      <c r="Q19">
        <v>12819238.587479999</v>
      </c>
      <c r="R19" s="13">
        <v>744</v>
      </c>
      <c r="S19" s="13">
        <v>0</v>
      </c>
      <c r="T19" s="13">
        <v>744</v>
      </c>
      <c r="U19" s="13">
        <v>0</v>
      </c>
    </row>
    <row r="20" spans="1:21" ht="14.4" x14ac:dyDescent="0.3">
      <c r="A20" s="21">
        <v>6</v>
      </c>
      <c r="B20" s="13">
        <v>1341</v>
      </c>
      <c r="C20" s="12">
        <v>4.0999999046325701</v>
      </c>
      <c r="D20" s="12">
        <v>6.4000000953674299</v>
      </c>
      <c r="E20" s="12">
        <v>3.0999999046325701</v>
      </c>
      <c r="F20" s="12">
        <v>-3</v>
      </c>
      <c r="G20" s="12">
        <v>-17</v>
      </c>
      <c r="H20" s="13">
        <v>83</v>
      </c>
      <c r="I20">
        <v>4988.7332800000004</v>
      </c>
      <c r="J20">
        <v>0</v>
      </c>
      <c r="K20">
        <v>4988.7332800000004</v>
      </c>
      <c r="L20">
        <v>56103.845520000003</v>
      </c>
      <c r="M20">
        <v>48.474779999999996</v>
      </c>
      <c r="N20">
        <v>56152.320299999999</v>
      </c>
      <c r="O20">
        <v>12085632.80026</v>
      </c>
      <c r="P20">
        <v>7414.5655399999996</v>
      </c>
      <c r="Q20">
        <v>12093047.365800001</v>
      </c>
      <c r="R20" s="13">
        <v>744</v>
      </c>
      <c r="S20" s="13">
        <v>0</v>
      </c>
      <c r="T20" s="13">
        <v>744</v>
      </c>
      <c r="U20" s="13">
        <v>0</v>
      </c>
    </row>
    <row r="21" spans="1:21" ht="9" customHeight="1" x14ac:dyDescent="0.25">
      <c r="A21"/>
      <c r="B21" s="13">
        <v>23</v>
      </c>
      <c r="C21" s="12"/>
      <c r="D21" s="12"/>
      <c r="E21" s="12"/>
      <c r="F21" s="12"/>
      <c r="G21" s="12"/>
      <c r="H21" s="13"/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3"/>
      <c r="S21" s="13"/>
      <c r="T21" s="13"/>
      <c r="U21" s="13"/>
    </row>
    <row r="22" spans="1:21" ht="14.4" x14ac:dyDescent="0.3">
      <c r="A22" s="21">
        <v>7</v>
      </c>
      <c r="B22" s="13">
        <v>1344</v>
      </c>
      <c r="C22" s="12">
        <v>3.7000000476837198</v>
      </c>
      <c r="D22" s="12">
        <v>5.5999999046325701</v>
      </c>
      <c r="E22" s="12">
        <v>3.0999999046325701</v>
      </c>
      <c r="F22" s="12">
        <v>0</v>
      </c>
      <c r="G22" s="12">
        <v>-13.7</v>
      </c>
      <c r="H22" s="13">
        <v>21</v>
      </c>
      <c r="I22">
        <v>1289.22118</v>
      </c>
      <c r="J22">
        <v>0</v>
      </c>
      <c r="K22">
        <v>1289.22118</v>
      </c>
      <c r="L22">
        <v>14406.170339999999</v>
      </c>
      <c r="M22">
        <v>8.82118</v>
      </c>
      <c r="N22">
        <v>14414.99152</v>
      </c>
      <c r="O22">
        <v>8785045.1021600012</v>
      </c>
      <c r="P22">
        <v>9350.3906599999991</v>
      </c>
      <c r="Q22">
        <v>8794395.4928200003</v>
      </c>
      <c r="R22" s="13">
        <v>744</v>
      </c>
      <c r="S22" s="13">
        <v>0</v>
      </c>
      <c r="T22" s="13">
        <v>744</v>
      </c>
      <c r="U22" s="13">
        <v>0</v>
      </c>
    </row>
    <row r="23" spans="1:21" ht="14.4" x14ac:dyDescent="0.3">
      <c r="A23" s="21">
        <v>8</v>
      </c>
      <c r="B23" s="13">
        <v>1346</v>
      </c>
      <c r="C23" s="12">
        <v>3.7000000476837198</v>
      </c>
      <c r="D23" s="12">
        <v>6.3000001907348597</v>
      </c>
      <c r="E23" s="12">
        <v>3.0999999046325701</v>
      </c>
      <c r="F23" s="12">
        <v>5</v>
      </c>
      <c r="G23" s="12">
        <v>-13.7</v>
      </c>
      <c r="H23" s="13">
        <v>36</v>
      </c>
      <c r="I23">
        <v>2170.8134400000004</v>
      </c>
      <c r="J23">
        <v>0</v>
      </c>
      <c r="K23">
        <v>2170.8134400000004</v>
      </c>
      <c r="L23">
        <v>21074.177319999999</v>
      </c>
      <c r="M23">
        <v>0</v>
      </c>
      <c r="N23">
        <v>21074.177319999999</v>
      </c>
      <c r="O23">
        <v>10208145.68022</v>
      </c>
      <c r="P23">
        <v>5835.8827799999999</v>
      </c>
      <c r="Q23">
        <v>10213981.562999999</v>
      </c>
      <c r="R23" s="13">
        <v>744</v>
      </c>
      <c r="S23" s="13">
        <v>0</v>
      </c>
      <c r="T23" s="13">
        <v>744</v>
      </c>
      <c r="U23" s="13">
        <v>0</v>
      </c>
    </row>
    <row r="24" spans="1:21" ht="14.4" x14ac:dyDescent="0.3">
      <c r="A24" s="21">
        <v>9</v>
      </c>
      <c r="B24" s="13">
        <v>1348</v>
      </c>
      <c r="C24" s="12">
        <v>4</v>
      </c>
      <c r="D24" s="12">
        <v>6.1999998092651403</v>
      </c>
      <c r="E24" s="12">
        <v>3.0999999046325701</v>
      </c>
      <c r="F24" s="12">
        <v>0</v>
      </c>
      <c r="G24" s="12">
        <v>-13.7</v>
      </c>
      <c r="H24" s="13">
        <v>36</v>
      </c>
      <c r="I24">
        <v>2143.8105799999998</v>
      </c>
      <c r="J24">
        <v>0</v>
      </c>
      <c r="K24">
        <v>2143.8105799999998</v>
      </c>
      <c r="L24">
        <v>22133.262119999999</v>
      </c>
      <c r="M24">
        <v>10.031740000000001</v>
      </c>
      <c r="N24">
        <v>22143.293859999998</v>
      </c>
      <c r="O24">
        <v>9810941.131000001</v>
      </c>
      <c r="P24">
        <v>9365.9223000000002</v>
      </c>
      <c r="Q24">
        <v>9820307.0533000007</v>
      </c>
      <c r="R24" s="13">
        <v>744</v>
      </c>
      <c r="S24" s="13">
        <v>0</v>
      </c>
      <c r="T24" s="13">
        <v>744</v>
      </c>
      <c r="U24" s="13">
        <v>0</v>
      </c>
    </row>
    <row r="25" spans="1:21" ht="14.4" x14ac:dyDescent="0.3">
      <c r="A25" s="21">
        <v>10</v>
      </c>
      <c r="B25" s="13">
        <v>1349</v>
      </c>
      <c r="C25" s="12">
        <v>4</v>
      </c>
      <c r="D25" s="12">
        <v>6.3000001907348597</v>
      </c>
      <c r="E25" s="12">
        <v>3.0999999046325701</v>
      </c>
      <c r="F25" s="12">
        <v>0</v>
      </c>
      <c r="G25" s="12">
        <v>-13.7</v>
      </c>
      <c r="H25" s="13">
        <v>30</v>
      </c>
      <c r="I25">
        <v>1789.7062599999999</v>
      </c>
      <c r="J25">
        <v>0</v>
      </c>
      <c r="K25">
        <v>1789.7062599999999</v>
      </c>
      <c r="L25">
        <v>18193.285079999998</v>
      </c>
      <c r="M25">
        <v>24.496380000000002</v>
      </c>
      <c r="N25">
        <v>18217.781460000002</v>
      </c>
      <c r="O25">
        <v>11493952.3574</v>
      </c>
      <c r="P25">
        <v>8169.0974999999999</v>
      </c>
      <c r="Q25">
        <v>11502121.4549</v>
      </c>
      <c r="R25" s="13">
        <v>744</v>
      </c>
      <c r="S25" s="13">
        <v>0</v>
      </c>
      <c r="T25" s="13">
        <v>744</v>
      </c>
      <c r="U25" s="13">
        <v>0</v>
      </c>
    </row>
    <row r="26" spans="1:21" ht="14.4" x14ac:dyDescent="0.3">
      <c r="A26" s="21">
        <v>11</v>
      </c>
      <c r="B26" s="13">
        <v>1350</v>
      </c>
      <c r="C26" s="12">
        <v>4</v>
      </c>
      <c r="D26" s="12"/>
      <c r="E26" s="12">
        <v>3.0999999046325701</v>
      </c>
      <c r="F26" s="12">
        <v>4</v>
      </c>
      <c r="G26" s="12">
        <v>-13.7</v>
      </c>
      <c r="H26" s="13">
        <v>79</v>
      </c>
      <c r="I26">
        <v>4773.9132</v>
      </c>
      <c r="J26">
        <v>0</v>
      </c>
      <c r="K26">
        <v>4773.9132</v>
      </c>
      <c r="L26">
        <v>44902.1924</v>
      </c>
      <c r="M26">
        <v>55.321039999999996</v>
      </c>
      <c r="N26">
        <v>44957.513439999995</v>
      </c>
      <c r="O26">
        <v>13273443.91212</v>
      </c>
      <c r="P26">
        <v>7180.4172399999998</v>
      </c>
      <c r="Q26">
        <v>13280624.329360001</v>
      </c>
      <c r="R26" s="13">
        <v>744</v>
      </c>
      <c r="S26" s="13">
        <v>0</v>
      </c>
      <c r="T26" s="13">
        <v>744</v>
      </c>
      <c r="U26" s="13">
        <v>0</v>
      </c>
    </row>
    <row r="27" spans="1:21" ht="9" customHeight="1" x14ac:dyDescent="0.25">
      <c r="A27"/>
      <c r="B27" s="13">
        <v>23</v>
      </c>
      <c r="C27" s="12"/>
      <c r="D27" s="12"/>
      <c r="E27" s="12"/>
      <c r="F27" s="12"/>
      <c r="G27" s="12"/>
      <c r="H27" s="13"/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3"/>
      <c r="S27" s="13"/>
      <c r="T27" s="13"/>
      <c r="U27" s="13"/>
    </row>
    <row r="28" spans="1:21" ht="14.4" x14ac:dyDescent="0.3">
      <c r="A28" s="21">
        <v>12</v>
      </c>
      <c r="B28" s="13">
        <v>1374</v>
      </c>
      <c r="C28" s="12">
        <v>3.5</v>
      </c>
      <c r="D28" s="12">
        <v>5.4000000953674299</v>
      </c>
      <c r="E28" s="12">
        <v>3.0999999046325701</v>
      </c>
      <c r="F28" s="12">
        <v>-10</v>
      </c>
      <c r="G28" s="12">
        <v>-18.3</v>
      </c>
      <c r="H28" s="13">
        <v>35</v>
      </c>
      <c r="I28">
        <v>2088.42164</v>
      </c>
      <c r="J28">
        <v>0</v>
      </c>
      <c r="K28">
        <v>2088.42164</v>
      </c>
      <c r="L28">
        <v>19346.08352</v>
      </c>
      <c r="M28">
        <v>13.6479</v>
      </c>
      <c r="N28">
        <v>19359.73142</v>
      </c>
      <c r="O28">
        <v>8559906.0942599997</v>
      </c>
      <c r="P28">
        <v>11362.027099999999</v>
      </c>
      <c r="Q28">
        <v>8571268.1213600002</v>
      </c>
      <c r="R28" s="13">
        <v>744</v>
      </c>
      <c r="S28" s="13">
        <v>0</v>
      </c>
      <c r="T28" s="13">
        <v>744</v>
      </c>
      <c r="U28" s="13">
        <v>0</v>
      </c>
    </row>
    <row r="29" spans="1:21" ht="14.4" x14ac:dyDescent="0.3">
      <c r="A29" s="21">
        <v>13</v>
      </c>
      <c r="B29" s="13">
        <v>1375</v>
      </c>
      <c r="C29" s="12">
        <v>3.5</v>
      </c>
      <c r="D29" s="12">
        <v>5.3000001907348597</v>
      </c>
      <c r="E29" s="12">
        <v>3.0999999046325701</v>
      </c>
      <c r="F29" s="12">
        <v>-8</v>
      </c>
      <c r="G29" s="12">
        <v>-18.3</v>
      </c>
      <c r="H29" s="13">
        <v>24</v>
      </c>
      <c r="I29">
        <v>1448.5921799999999</v>
      </c>
      <c r="J29">
        <v>0</v>
      </c>
      <c r="K29">
        <v>1448.5921799999999</v>
      </c>
      <c r="L29">
        <v>14673.127919999999</v>
      </c>
      <c r="M29">
        <v>0.33949999999999997</v>
      </c>
      <c r="N29">
        <v>14673.467419999999</v>
      </c>
      <c r="O29">
        <v>6886353.6540799998</v>
      </c>
      <c r="P29">
        <v>7460.1652399999994</v>
      </c>
      <c r="Q29">
        <v>6893813.8193199998</v>
      </c>
      <c r="R29" s="13">
        <v>744</v>
      </c>
      <c r="S29" s="13">
        <v>0</v>
      </c>
      <c r="T29" s="13">
        <v>744</v>
      </c>
      <c r="U29" s="13">
        <v>0</v>
      </c>
    </row>
    <row r="30" spans="1:21" ht="14.4" x14ac:dyDescent="0.3">
      <c r="A30" s="21">
        <v>14</v>
      </c>
      <c r="B30" s="13">
        <v>1380</v>
      </c>
      <c r="C30" s="12">
        <v>3.5</v>
      </c>
      <c r="D30" s="12">
        <v>5.5</v>
      </c>
      <c r="E30" s="12">
        <v>3.0999999046325701</v>
      </c>
      <c r="F30" s="12">
        <v>3</v>
      </c>
      <c r="G30" s="12">
        <v>-18.3</v>
      </c>
      <c r="H30" s="13">
        <v>30</v>
      </c>
      <c r="I30">
        <v>1818.5734599999998</v>
      </c>
      <c r="J30">
        <v>0</v>
      </c>
      <c r="K30">
        <v>1818.5734599999998</v>
      </c>
      <c r="L30">
        <v>18644.746359999997</v>
      </c>
      <c r="M30">
        <v>21.646519999999999</v>
      </c>
      <c r="N30">
        <v>18666.392879999999</v>
      </c>
      <c r="O30">
        <v>11119963.206180001</v>
      </c>
      <c r="P30">
        <v>9389.6407399999989</v>
      </c>
      <c r="Q30">
        <v>11129352.84692</v>
      </c>
      <c r="R30" s="13">
        <v>744</v>
      </c>
      <c r="S30" s="13">
        <v>0</v>
      </c>
      <c r="T30" s="13">
        <v>744</v>
      </c>
      <c r="U30" s="13">
        <v>0</v>
      </c>
    </row>
    <row r="31" spans="1:21" ht="9" customHeight="1" x14ac:dyDescent="0.25">
      <c r="A31"/>
      <c r="B31" s="13">
        <v>23</v>
      </c>
      <c r="C31" s="12"/>
      <c r="D31" s="12"/>
      <c r="E31" s="12"/>
      <c r="F31" s="12"/>
      <c r="G31" s="12"/>
      <c r="H31" s="13"/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3"/>
      <c r="S31" s="13"/>
      <c r="T31" s="13"/>
      <c r="U31" s="13"/>
    </row>
    <row r="32" spans="1:21" ht="14.4" x14ac:dyDescent="0.3">
      <c r="A32" s="21">
        <v>15</v>
      </c>
      <c r="B32" s="13">
        <v>1384</v>
      </c>
      <c r="C32" s="12">
        <v>4.3000001907348597</v>
      </c>
      <c r="D32" s="12">
        <v>1.3999999761581401</v>
      </c>
      <c r="E32" s="12">
        <v>3.2000000476837198</v>
      </c>
      <c r="F32" s="12">
        <v>-15</v>
      </c>
      <c r="G32" s="12">
        <v>-16</v>
      </c>
      <c r="H32" s="13">
        <v>49</v>
      </c>
      <c r="I32">
        <v>2926.4725399999998</v>
      </c>
      <c r="J32">
        <v>0</v>
      </c>
      <c r="K32">
        <v>2926.4725399999998</v>
      </c>
      <c r="L32">
        <v>34836.354959999997</v>
      </c>
      <c r="M32">
        <v>0.36471999999999999</v>
      </c>
      <c r="N32">
        <v>34836.719680000002</v>
      </c>
      <c r="O32">
        <v>11065214.95506</v>
      </c>
      <c r="P32">
        <v>12610.4365</v>
      </c>
      <c r="Q32">
        <v>11077825.391559999</v>
      </c>
      <c r="R32" s="13">
        <v>744</v>
      </c>
      <c r="S32" s="13">
        <v>0</v>
      </c>
      <c r="T32" s="13">
        <v>744</v>
      </c>
      <c r="U32" s="13">
        <v>0</v>
      </c>
    </row>
    <row r="33" spans="1:21" ht="14.4" x14ac:dyDescent="0.3">
      <c r="A33" s="21">
        <v>16</v>
      </c>
      <c r="B33" s="13">
        <v>1385</v>
      </c>
      <c r="C33" s="12">
        <v>4.3000001907348597</v>
      </c>
      <c r="D33" s="12">
        <v>7.1999998092651403</v>
      </c>
      <c r="E33" s="12">
        <v>3.2000000476837198</v>
      </c>
      <c r="F33" s="12">
        <v>4</v>
      </c>
      <c r="G33" s="12">
        <v>-16</v>
      </c>
      <c r="H33" s="13">
        <v>84</v>
      </c>
      <c r="I33">
        <v>5074.4327800000001</v>
      </c>
      <c r="J33">
        <v>0</v>
      </c>
      <c r="K33">
        <v>5074.4327800000001</v>
      </c>
      <c r="L33">
        <v>41738.801240000001</v>
      </c>
      <c r="M33">
        <v>21.502959999999998</v>
      </c>
      <c r="N33">
        <v>41760.304199999999</v>
      </c>
      <c r="O33">
        <v>11682027.32968</v>
      </c>
      <c r="P33">
        <v>5521.6415799999995</v>
      </c>
      <c r="Q33">
        <v>11687548.97126</v>
      </c>
      <c r="R33" s="13">
        <v>744</v>
      </c>
      <c r="S33" s="13">
        <v>0</v>
      </c>
      <c r="T33" s="13">
        <v>744</v>
      </c>
      <c r="U33" s="13">
        <v>0</v>
      </c>
    </row>
    <row r="34" spans="1:21" ht="14.4" x14ac:dyDescent="0.3">
      <c r="A34" s="21">
        <v>17</v>
      </c>
      <c r="B34" s="13">
        <v>1386</v>
      </c>
      <c r="C34" s="12">
        <v>4.1999998092651403</v>
      </c>
      <c r="D34" s="12">
        <v>4.1999998092651403</v>
      </c>
      <c r="E34" s="12">
        <v>3.2000000476837198</v>
      </c>
      <c r="F34" s="12">
        <v>-7</v>
      </c>
      <c r="G34" s="12">
        <v>-16</v>
      </c>
      <c r="H34" s="13">
        <v>90</v>
      </c>
      <c r="I34">
        <v>5387.0404999999992</v>
      </c>
      <c r="J34">
        <v>0</v>
      </c>
      <c r="K34">
        <v>5387.0404999999992</v>
      </c>
      <c r="L34">
        <v>61379.171119999999</v>
      </c>
      <c r="M34">
        <v>0.36471999999999999</v>
      </c>
      <c r="N34">
        <v>61379.535840000004</v>
      </c>
      <c r="O34">
        <v>14715903.075059999</v>
      </c>
      <c r="P34">
        <v>7333.9430199999997</v>
      </c>
      <c r="Q34">
        <v>14723237.01808</v>
      </c>
      <c r="R34" s="13">
        <v>744</v>
      </c>
      <c r="S34" s="13">
        <v>0</v>
      </c>
      <c r="T34" s="13">
        <v>744</v>
      </c>
      <c r="U34" s="13">
        <v>0</v>
      </c>
    </row>
    <row r="35" spans="1:21" ht="14.4" x14ac:dyDescent="0.3">
      <c r="A35" s="21">
        <v>18</v>
      </c>
      <c r="B35" s="13">
        <v>1387</v>
      </c>
      <c r="C35" s="12">
        <v>4.4000000953674299</v>
      </c>
      <c r="D35" s="12">
        <v>1</v>
      </c>
      <c r="E35" s="12">
        <v>3.2000000476837198</v>
      </c>
      <c r="F35" s="12">
        <v>6</v>
      </c>
      <c r="G35" s="12">
        <v>-16</v>
      </c>
      <c r="H35" s="13">
        <v>48</v>
      </c>
      <c r="I35">
        <v>2907.1074600000002</v>
      </c>
      <c r="J35">
        <v>0</v>
      </c>
      <c r="K35">
        <v>2907.1074600000002</v>
      </c>
      <c r="L35">
        <v>25150.62948</v>
      </c>
      <c r="M35">
        <v>216.51757999999998</v>
      </c>
      <c r="N35">
        <v>25367.147059999999</v>
      </c>
      <c r="O35">
        <v>10331803.097999999</v>
      </c>
      <c r="P35">
        <v>8106.8196200000002</v>
      </c>
      <c r="Q35">
        <v>10339909.917619999</v>
      </c>
      <c r="R35" s="13">
        <v>744</v>
      </c>
      <c r="S35" s="13">
        <v>0</v>
      </c>
      <c r="T35" s="13">
        <v>744</v>
      </c>
      <c r="U35" s="13">
        <v>0</v>
      </c>
    </row>
    <row r="36" spans="1:21" ht="14.4" x14ac:dyDescent="0.3">
      <c r="A36" s="21">
        <v>19</v>
      </c>
      <c r="B36" s="13">
        <v>1388</v>
      </c>
      <c r="C36" s="12">
        <v>4.4000000953674299</v>
      </c>
      <c r="D36" s="12"/>
      <c r="E36" s="12">
        <v>3.2000000476837198</v>
      </c>
      <c r="F36" s="12">
        <v>5</v>
      </c>
      <c r="G36" s="12">
        <v>-16</v>
      </c>
      <c r="H36" s="13">
        <v>78</v>
      </c>
      <c r="I36">
        <v>4717.74244</v>
      </c>
      <c r="J36">
        <v>0</v>
      </c>
      <c r="K36">
        <v>4717.74244</v>
      </c>
      <c r="L36">
        <v>55928.432659999999</v>
      </c>
      <c r="M36">
        <v>0.37636000000000003</v>
      </c>
      <c r="N36">
        <v>55928.809020000001</v>
      </c>
      <c r="O36">
        <v>16259516.796499999</v>
      </c>
      <c r="P36">
        <v>7387.1358799999998</v>
      </c>
      <c r="Q36">
        <v>16266903.932379998</v>
      </c>
      <c r="R36" s="13">
        <v>744</v>
      </c>
      <c r="S36" s="13">
        <v>0</v>
      </c>
      <c r="T36" s="13">
        <v>744</v>
      </c>
      <c r="U36" s="13">
        <v>0</v>
      </c>
    </row>
    <row r="37" spans="1:21" ht="14.4" x14ac:dyDescent="0.3">
      <c r="A37" s="21">
        <v>20</v>
      </c>
      <c r="B37" s="13">
        <v>1389</v>
      </c>
      <c r="C37" s="12">
        <v>4.5</v>
      </c>
      <c r="D37" s="12"/>
      <c r="E37" s="12">
        <v>3.2000000476837198</v>
      </c>
      <c r="F37" s="12">
        <v>6</v>
      </c>
      <c r="G37" s="12">
        <v>-16</v>
      </c>
      <c r="H37" s="13">
        <v>104</v>
      </c>
      <c r="I37">
        <v>6240.4872400000004</v>
      </c>
      <c r="J37">
        <v>0</v>
      </c>
      <c r="K37">
        <v>6240.4872400000004</v>
      </c>
      <c r="L37">
        <v>72274.469140000001</v>
      </c>
      <c r="M37">
        <v>0.38994000000000001</v>
      </c>
      <c r="N37">
        <v>72274.859080000009</v>
      </c>
      <c r="O37">
        <v>16690046.6987</v>
      </c>
      <c r="P37">
        <v>7831.4540799999995</v>
      </c>
      <c r="Q37">
        <v>16697878.152780002</v>
      </c>
      <c r="R37" s="13">
        <v>744</v>
      </c>
      <c r="S37" s="13">
        <v>0</v>
      </c>
      <c r="T37" s="13">
        <v>744</v>
      </c>
      <c r="U37" s="13">
        <v>0</v>
      </c>
    </row>
    <row r="38" spans="1:21" ht="9" customHeight="1" x14ac:dyDescent="0.25">
      <c r="A38"/>
      <c r="B38" s="13">
        <v>23</v>
      </c>
      <c r="C38" s="12"/>
      <c r="D38" s="12"/>
      <c r="E38" s="12"/>
      <c r="F38" s="12"/>
      <c r="G38" s="12"/>
      <c r="H38" s="13"/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3"/>
      <c r="S38" s="13"/>
      <c r="T38" s="13"/>
      <c r="U38" s="13"/>
    </row>
    <row r="39" spans="1:21" ht="14.4" x14ac:dyDescent="0.3">
      <c r="A39" s="21">
        <v>21</v>
      </c>
      <c r="B39" s="13">
        <v>1394</v>
      </c>
      <c r="C39" s="12">
        <v>3.5</v>
      </c>
      <c r="D39" s="12"/>
      <c r="E39" s="12">
        <v>3.0999999046325701</v>
      </c>
      <c r="F39" s="12">
        <v>-10</v>
      </c>
      <c r="G39" s="12">
        <v>-12.6</v>
      </c>
      <c r="H39" s="13">
        <v>92</v>
      </c>
      <c r="I39">
        <v>5534.7443399999993</v>
      </c>
      <c r="J39">
        <v>0</v>
      </c>
      <c r="K39">
        <v>5534.7443399999993</v>
      </c>
      <c r="L39">
        <v>42384.177159999999</v>
      </c>
      <c r="M39">
        <v>31.845099999999999</v>
      </c>
      <c r="N39">
        <v>42416.022259999998</v>
      </c>
      <c r="O39">
        <v>12634521.78624</v>
      </c>
      <c r="P39">
        <v>5693.2112999999999</v>
      </c>
      <c r="Q39">
        <v>12640214.997540001</v>
      </c>
      <c r="R39" s="13">
        <v>744</v>
      </c>
      <c r="S39" s="13">
        <v>0</v>
      </c>
      <c r="T39" s="13">
        <v>744</v>
      </c>
      <c r="U39" s="13">
        <v>0</v>
      </c>
    </row>
    <row r="40" spans="1:21" ht="14.4" x14ac:dyDescent="0.3">
      <c r="A40" s="21">
        <v>22</v>
      </c>
      <c r="B40" s="13">
        <v>1395</v>
      </c>
      <c r="C40" s="12">
        <v>3.5</v>
      </c>
      <c r="D40" s="12">
        <v>5.5</v>
      </c>
      <c r="E40" s="12">
        <v>3.0999999046325701</v>
      </c>
      <c r="F40" s="12">
        <v>5</v>
      </c>
      <c r="G40" s="12">
        <v>-12.6</v>
      </c>
      <c r="H40" s="13">
        <v>53</v>
      </c>
      <c r="I40">
        <v>3163.6647000000003</v>
      </c>
      <c r="J40">
        <v>0</v>
      </c>
      <c r="K40">
        <v>3163.6647000000003</v>
      </c>
      <c r="L40">
        <v>25774.539299999997</v>
      </c>
      <c r="M40">
        <v>8.6174800000000005</v>
      </c>
      <c r="N40">
        <v>25783.156780000001</v>
      </c>
      <c r="O40">
        <v>13577813.241699999</v>
      </c>
      <c r="P40">
        <v>5655.0068799999999</v>
      </c>
      <c r="Q40">
        <v>13583468.248579999</v>
      </c>
      <c r="R40" s="13">
        <v>744</v>
      </c>
      <c r="S40" s="13">
        <v>0</v>
      </c>
      <c r="T40" s="13">
        <v>744</v>
      </c>
      <c r="U40" s="13">
        <v>0</v>
      </c>
    </row>
    <row r="41" spans="1:21" ht="14.4" x14ac:dyDescent="0.3">
      <c r="A41" s="21">
        <v>23</v>
      </c>
      <c r="B41" s="13">
        <v>1396</v>
      </c>
      <c r="C41" s="12">
        <v>3.5</v>
      </c>
      <c r="D41" s="12">
        <v>6.0999999046325701</v>
      </c>
      <c r="E41" s="12">
        <v>3.0999999046325701</v>
      </c>
      <c r="F41" s="12">
        <v>7</v>
      </c>
      <c r="G41" s="12">
        <v>-12.6</v>
      </c>
      <c r="H41" s="13">
        <v>20</v>
      </c>
      <c r="I41">
        <v>1211.88114</v>
      </c>
      <c r="J41">
        <v>0</v>
      </c>
      <c r="K41">
        <v>1211.88114</v>
      </c>
      <c r="L41">
        <v>14312.63906</v>
      </c>
      <c r="M41">
        <v>20.75412</v>
      </c>
      <c r="N41">
        <v>14333.393179999999</v>
      </c>
      <c r="O41">
        <v>11555299.20812</v>
      </c>
      <c r="P41">
        <v>9742.9477200000001</v>
      </c>
      <c r="Q41">
        <v>11565042.155839998</v>
      </c>
      <c r="R41" s="13">
        <v>744</v>
      </c>
      <c r="S41" s="13">
        <v>0</v>
      </c>
      <c r="T41" s="13">
        <v>744</v>
      </c>
      <c r="U41" s="13">
        <v>0</v>
      </c>
    </row>
    <row r="42" spans="1:21" ht="14.4" x14ac:dyDescent="0.3">
      <c r="A42" s="21">
        <v>24</v>
      </c>
      <c r="B42" s="13">
        <v>1397</v>
      </c>
      <c r="C42" s="12">
        <v>3.5</v>
      </c>
      <c r="D42" s="12">
        <v>5.5999999046325701</v>
      </c>
      <c r="E42" s="12">
        <v>3.0999999046325701</v>
      </c>
      <c r="F42" s="12">
        <v>3</v>
      </c>
      <c r="G42" s="12">
        <v>-12.6</v>
      </c>
      <c r="H42" s="13">
        <v>52</v>
      </c>
      <c r="I42">
        <v>3138.76674</v>
      </c>
      <c r="J42">
        <v>0</v>
      </c>
      <c r="K42">
        <v>3138.76674</v>
      </c>
      <c r="L42">
        <v>24943.577159999997</v>
      </c>
      <c r="M42">
        <v>18.759799999999998</v>
      </c>
      <c r="N42">
        <v>24962.336959999997</v>
      </c>
      <c r="O42">
        <v>13368323.210819999</v>
      </c>
      <c r="P42">
        <v>7740.5883599999997</v>
      </c>
      <c r="Q42">
        <v>13376063.799180001</v>
      </c>
      <c r="R42" s="13">
        <v>744</v>
      </c>
      <c r="S42" s="13">
        <v>0</v>
      </c>
      <c r="T42" s="13">
        <v>744</v>
      </c>
      <c r="U42" s="13">
        <v>0</v>
      </c>
    </row>
    <row r="43" spans="1:21" ht="14.4" x14ac:dyDescent="0.3">
      <c r="A43" s="21">
        <v>25</v>
      </c>
      <c r="B43" s="13">
        <v>1399</v>
      </c>
      <c r="C43" s="12">
        <v>3.5</v>
      </c>
      <c r="D43" s="12">
        <v>8</v>
      </c>
      <c r="E43" s="12">
        <v>3.0999999046325701</v>
      </c>
      <c r="F43" s="12">
        <v>-11</v>
      </c>
      <c r="G43" s="12">
        <v>-12.6</v>
      </c>
      <c r="H43" s="13">
        <v>41</v>
      </c>
      <c r="I43">
        <v>2482.5792000000001</v>
      </c>
      <c r="J43">
        <v>0</v>
      </c>
      <c r="K43">
        <v>2482.5792000000001</v>
      </c>
      <c r="L43">
        <v>19529.266079999998</v>
      </c>
      <c r="M43">
        <v>0.35308</v>
      </c>
      <c r="N43">
        <v>19529.619159999998</v>
      </c>
      <c r="O43">
        <v>14472397.307279998</v>
      </c>
      <c r="P43">
        <v>8709.8453399999999</v>
      </c>
      <c r="Q43">
        <v>14481107.152620001</v>
      </c>
      <c r="R43" s="13">
        <v>744</v>
      </c>
      <c r="S43" s="13">
        <v>0</v>
      </c>
      <c r="T43" s="13">
        <v>744</v>
      </c>
      <c r="U43" s="13">
        <v>0</v>
      </c>
    </row>
    <row r="44" spans="1:21" ht="14.4" x14ac:dyDescent="0.3">
      <c r="A44" s="21">
        <v>26</v>
      </c>
      <c r="B44" s="13">
        <v>1400</v>
      </c>
      <c r="C44" s="12">
        <v>3.5</v>
      </c>
      <c r="D44" s="12">
        <v>8</v>
      </c>
      <c r="E44" s="12">
        <v>3.0999999046325701</v>
      </c>
      <c r="F44" s="12">
        <v>-11</v>
      </c>
      <c r="G44" s="12">
        <v>-12.6</v>
      </c>
      <c r="H44" s="13">
        <v>45</v>
      </c>
      <c r="I44">
        <v>2687.5964599999998</v>
      </c>
      <c r="J44">
        <v>0</v>
      </c>
      <c r="K44">
        <v>2687.5964599999998</v>
      </c>
      <c r="L44">
        <v>23726.9954</v>
      </c>
      <c r="M44">
        <v>33.942239999999998</v>
      </c>
      <c r="N44">
        <v>23760.93764</v>
      </c>
      <c r="O44">
        <v>10970863.163700001</v>
      </c>
      <c r="P44">
        <v>9311.7128799999991</v>
      </c>
      <c r="Q44">
        <v>10980174.87658</v>
      </c>
      <c r="R44" s="13">
        <v>744</v>
      </c>
      <c r="S44" s="13">
        <v>0</v>
      </c>
      <c r="T44" s="13">
        <v>744</v>
      </c>
      <c r="U44" s="13">
        <v>0</v>
      </c>
    </row>
    <row r="45" spans="1:21" ht="14.4" x14ac:dyDescent="0.3">
      <c r="A45" s="21">
        <v>27</v>
      </c>
      <c r="B45" s="13">
        <v>1401</v>
      </c>
      <c r="C45" s="12">
        <v>3.5</v>
      </c>
      <c r="D45" s="12">
        <v>7.8000001907348597</v>
      </c>
      <c r="E45" s="12">
        <v>3.0999999046325701</v>
      </c>
      <c r="F45" s="12">
        <v>7</v>
      </c>
      <c r="G45" s="12">
        <v>-12.6</v>
      </c>
      <c r="H45" s="13">
        <v>51</v>
      </c>
      <c r="I45">
        <v>3045.4294599999998</v>
      </c>
      <c r="J45">
        <v>0</v>
      </c>
      <c r="K45">
        <v>3045.4294599999998</v>
      </c>
      <c r="L45">
        <v>26580.933280000001</v>
      </c>
      <c r="M45">
        <v>46.94218</v>
      </c>
      <c r="N45">
        <v>26627.875459999999</v>
      </c>
      <c r="O45">
        <v>13246053.886319999</v>
      </c>
      <c r="P45">
        <v>7460.24478</v>
      </c>
      <c r="Q45">
        <v>13253514.131100001</v>
      </c>
      <c r="R45" s="13">
        <v>744</v>
      </c>
      <c r="S45" s="13">
        <v>0</v>
      </c>
      <c r="T45" s="13">
        <v>744</v>
      </c>
      <c r="U45" s="13">
        <v>0</v>
      </c>
    </row>
    <row r="46" spans="1:21" ht="9" customHeight="1" x14ac:dyDescent="0.25">
      <c r="A46"/>
      <c r="B46" s="13">
        <v>23</v>
      </c>
      <c r="C46" s="12"/>
      <c r="D46" s="12"/>
      <c r="E46" s="12"/>
      <c r="F46" s="12"/>
      <c r="G46" s="12"/>
      <c r="H46" s="13"/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3"/>
      <c r="S46" s="13"/>
      <c r="T46" s="13"/>
      <c r="U46" s="13"/>
    </row>
    <row r="47" spans="1:21" ht="14.4" x14ac:dyDescent="0.3">
      <c r="A47" s="21">
        <v>28</v>
      </c>
      <c r="B47" s="13">
        <v>1404</v>
      </c>
      <c r="C47" s="12">
        <v>3.7999999523162802</v>
      </c>
      <c r="D47" s="12">
        <v>6</v>
      </c>
      <c r="E47" s="12">
        <v>3.0999999046325701</v>
      </c>
      <c r="F47" s="12">
        <v>-8</v>
      </c>
      <c r="G47" s="12">
        <v>-20.399999999999999</v>
      </c>
      <c r="H47" s="13">
        <v>21</v>
      </c>
      <c r="I47">
        <v>1259.8728599999999</v>
      </c>
      <c r="J47">
        <v>0</v>
      </c>
      <c r="K47">
        <v>1259.8728599999999</v>
      </c>
      <c r="L47">
        <v>14329.0146</v>
      </c>
      <c r="M47">
        <v>64.640799999999999</v>
      </c>
      <c r="N47">
        <v>14393.6554</v>
      </c>
      <c r="O47">
        <v>10081828.14608</v>
      </c>
      <c r="P47">
        <v>9259.0845599999993</v>
      </c>
      <c r="Q47">
        <v>10091087.23064</v>
      </c>
      <c r="R47" s="13">
        <v>744</v>
      </c>
      <c r="S47" s="13">
        <v>0</v>
      </c>
      <c r="T47" s="13">
        <v>744</v>
      </c>
      <c r="U47" s="13">
        <v>0</v>
      </c>
    </row>
    <row r="48" spans="1:21" ht="14.4" x14ac:dyDescent="0.3">
      <c r="A48" s="21">
        <v>29</v>
      </c>
      <c r="B48" s="13">
        <v>1406</v>
      </c>
      <c r="C48" s="12">
        <v>3.7999999523162802</v>
      </c>
      <c r="D48" s="12">
        <v>6.9000000953674299</v>
      </c>
      <c r="E48" s="12">
        <v>3.0999999046325701</v>
      </c>
      <c r="F48" s="12">
        <v>-9</v>
      </c>
      <c r="G48" s="12">
        <v>-20.399999999999999</v>
      </c>
      <c r="H48" s="13">
        <v>25</v>
      </c>
      <c r="I48">
        <v>1519.85808</v>
      </c>
      <c r="J48">
        <v>0</v>
      </c>
      <c r="K48">
        <v>1519.85808</v>
      </c>
      <c r="L48">
        <v>16447.99512</v>
      </c>
      <c r="M48">
        <v>9.1082999999999998</v>
      </c>
      <c r="N48">
        <v>16457.103419999999</v>
      </c>
      <c r="O48">
        <v>7263883.7961200001</v>
      </c>
      <c r="P48">
        <v>10933.0543</v>
      </c>
      <c r="Q48">
        <v>7274816.8504199991</v>
      </c>
      <c r="R48" s="13">
        <v>744</v>
      </c>
      <c r="S48" s="13">
        <v>0</v>
      </c>
      <c r="T48" s="13">
        <v>744</v>
      </c>
      <c r="U48" s="13">
        <v>0</v>
      </c>
    </row>
    <row r="49" spans="1:21" ht="14.4" x14ac:dyDescent="0.3">
      <c r="A49" s="21">
        <v>30</v>
      </c>
      <c r="B49" s="13">
        <v>1411</v>
      </c>
      <c r="C49" s="12">
        <v>3.7999999523162802</v>
      </c>
      <c r="D49" s="12">
        <v>6.9000000953674299</v>
      </c>
      <c r="E49" s="12">
        <v>3.0999999046325701</v>
      </c>
      <c r="F49" s="12">
        <v>-10</v>
      </c>
      <c r="G49" s="12">
        <v>-20.399999999999999</v>
      </c>
      <c r="H49" s="13">
        <v>26</v>
      </c>
      <c r="I49">
        <v>1563.45958</v>
      </c>
      <c r="J49">
        <v>0</v>
      </c>
      <c r="K49">
        <v>1563.45958</v>
      </c>
      <c r="L49">
        <v>16886.929819999998</v>
      </c>
      <c r="M49">
        <v>0</v>
      </c>
      <c r="N49">
        <v>16886.929819999998</v>
      </c>
      <c r="O49">
        <v>6744883.2920999993</v>
      </c>
      <c r="P49">
        <v>7449.3245200000001</v>
      </c>
      <c r="Q49">
        <v>6752332.6166199995</v>
      </c>
      <c r="R49" s="13">
        <v>744</v>
      </c>
      <c r="S49" s="13">
        <v>0</v>
      </c>
      <c r="T49" s="13">
        <v>744</v>
      </c>
      <c r="U49" s="13">
        <v>0</v>
      </c>
    </row>
    <row r="50" spans="1:21" ht="9" customHeight="1" x14ac:dyDescent="0.25">
      <c r="A50"/>
      <c r="B50" s="13">
        <v>23</v>
      </c>
      <c r="C50" s="12"/>
      <c r="D50" s="12"/>
      <c r="E50" s="12"/>
      <c r="F50" s="12"/>
      <c r="G50" s="12"/>
      <c r="H50" s="13"/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3"/>
      <c r="S50" s="13"/>
      <c r="T50" s="13"/>
      <c r="U50" s="13"/>
    </row>
    <row r="51" spans="1:21" ht="14.4" x14ac:dyDescent="0.3">
      <c r="A51" s="21">
        <v>31</v>
      </c>
      <c r="B51" s="13">
        <v>1414</v>
      </c>
      <c r="C51" s="12">
        <v>3.5</v>
      </c>
      <c r="D51" s="12">
        <v>6.3000001907348597</v>
      </c>
      <c r="E51" s="12">
        <v>3.0999999046325701</v>
      </c>
      <c r="F51" s="12">
        <v>-7</v>
      </c>
      <c r="G51" s="12">
        <v>-13.4</v>
      </c>
      <c r="H51" s="13">
        <v>21</v>
      </c>
      <c r="I51">
        <v>1263.42112</v>
      </c>
      <c r="J51">
        <v>0</v>
      </c>
      <c r="K51">
        <v>1263.42112</v>
      </c>
      <c r="L51">
        <v>14625.0101</v>
      </c>
      <c r="M51">
        <v>11.46346</v>
      </c>
      <c r="N51">
        <v>14636.473559999999</v>
      </c>
      <c r="O51">
        <v>9798386.7430399992</v>
      </c>
      <c r="P51">
        <v>6197.1127200000001</v>
      </c>
      <c r="Q51">
        <v>9804583.8557599988</v>
      </c>
      <c r="R51" s="13">
        <v>744</v>
      </c>
      <c r="S51" s="13">
        <v>0</v>
      </c>
      <c r="T51" s="13">
        <v>744</v>
      </c>
      <c r="U51" s="13">
        <v>0</v>
      </c>
    </row>
    <row r="52" spans="1:21" ht="14.4" x14ac:dyDescent="0.3">
      <c r="A52" s="21">
        <v>32</v>
      </c>
      <c r="B52" s="13">
        <v>1416</v>
      </c>
      <c r="C52" s="12">
        <v>3.5</v>
      </c>
      <c r="D52" s="12">
        <v>5.0999999046325701</v>
      </c>
      <c r="E52" s="12">
        <v>3.0999999046325701</v>
      </c>
      <c r="F52" s="12">
        <v>3</v>
      </c>
      <c r="G52" s="12">
        <v>-13.4</v>
      </c>
      <c r="H52" s="13">
        <v>40</v>
      </c>
      <c r="I52">
        <v>2414.3804399999999</v>
      </c>
      <c r="J52">
        <v>0</v>
      </c>
      <c r="K52">
        <v>2414.3804399999999</v>
      </c>
      <c r="L52">
        <v>22105.465799999998</v>
      </c>
      <c r="M52">
        <v>19.353440000000003</v>
      </c>
      <c r="N52">
        <v>22124.819240000001</v>
      </c>
      <c r="O52">
        <v>7150734.3922199998</v>
      </c>
      <c r="P52">
        <v>7254.8899599999995</v>
      </c>
      <c r="Q52">
        <v>7157989.2821800001</v>
      </c>
      <c r="R52" s="13">
        <v>744</v>
      </c>
      <c r="S52" s="13">
        <v>0</v>
      </c>
      <c r="T52" s="13">
        <v>744</v>
      </c>
      <c r="U52" s="13">
        <v>0</v>
      </c>
    </row>
    <row r="53" spans="1:21" ht="14.4" x14ac:dyDescent="0.3">
      <c r="A53" s="21">
        <v>33</v>
      </c>
      <c r="B53" s="13">
        <v>1418</v>
      </c>
      <c r="C53" s="12">
        <v>3.5</v>
      </c>
      <c r="D53" s="12">
        <v>6.3000001907348597</v>
      </c>
      <c r="E53" s="12">
        <v>3.0999999046325701</v>
      </c>
      <c r="F53" s="12">
        <v>-15</v>
      </c>
      <c r="G53" s="12">
        <v>-13.4</v>
      </c>
      <c r="H53" s="13">
        <v>62</v>
      </c>
      <c r="I53">
        <v>3715.3890599999995</v>
      </c>
      <c r="J53">
        <v>0</v>
      </c>
      <c r="K53">
        <v>3715.3890599999995</v>
      </c>
      <c r="L53">
        <v>36906.204979999995</v>
      </c>
      <c r="M53">
        <v>9.8998200000000001</v>
      </c>
      <c r="N53">
        <v>36916.104799999994</v>
      </c>
      <c r="O53">
        <v>8932180.1360999998</v>
      </c>
      <c r="P53">
        <v>9008.2619599999998</v>
      </c>
      <c r="Q53">
        <v>8941188.3980599996</v>
      </c>
      <c r="R53" s="13">
        <v>744</v>
      </c>
      <c r="S53" s="13">
        <v>0</v>
      </c>
      <c r="T53" s="13">
        <v>744</v>
      </c>
      <c r="U53" s="13">
        <v>0</v>
      </c>
    </row>
    <row r="54" spans="1:21" ht="14.4" x14ac:dyDescent="0.3">
      <c r="A54" s="21">
        <v>34</v>
      </c>
      <c r="B54" s="13">
        <v>1420</v>
      </c>
      <c r="C54" s="12">
        <v>3.5999999046325701</v>
      </c>
      <c r="D54" s="12">
        <v>5</v>
      </c>
      <c r="E54" s="12">
        <v>3.0999999046325701</v>
      </c>
      <c r="F54" s="12">
        <v>-6</v>
      </c>
      <c r="G54" s="12">
        <v>-13.4</v>
      </c>
      <c r="H54" s="13">
        <v>37</v>
      </c>
      <c r="I54">
        <v>2222.3534199999999</v>
      </c>
      <c r="J54">
        <v>0</v>
      </c>
      <c r="K54">
        <v>2222.3534199999999</v>
      </c>
      <c r="L54">
        <v>18239.587059999998</v>
      </c>
      <c r="M54">
        <v>21.67756</v>
      </c>
      <c r="N54">
        <v>18261.264619999998</v>
      </c>
      <c r="O54">
        <v>6055951.2157199997</v>
      </c>
      <c r="P54">
        <v>6537.0239999999994</v>
      </c>
      <c r="Q54">
        <v>6062488.23972</v>
      </c>
      <c r="R54" s="13">
        <v>744</v>
      </c>
      <c r="S54" s="13">
        <v>0</v>
      </c>
      <c r="T54" s="13">
        <v>744</v>
      </c>
      <c r="U54" s="13">
        <v>0</v>
      </c>
    </row>
    <row r="55" spans="1:21" ht="9" customHeight="1" x14ac:dyDescent="0.25">
      <c r="A55"/>
      <c r="B55" s="13">
        <v>23</v>
      </c>
      <c r="C55" s="12"/>
      <c r="D55" s="12"/>
      <c r="E55" s="12"/>
      <c r="F55" s="12"/>
      <c r="G55" s="12"/>
      <c r="H55" s="13"/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3"/>
      <c r="S55" s="13"/>
      <c r="T55" s="13"/>
      <c r="U55" s="13"/>
    </row>
    <row r="56" spans="1:21" ht="14.4" x14ac:dyDescent="0.3">
      <c r="A56" s="21">
        <v>35</v>
      </c>
      <c r="B56" s="13">
        <v>1434</v>
      </c>
      <c r="C56" s="12">
        <v>4.6999998092651403</v>
      </c>
      <c r="D56" s="12"/>
      <c r="E56" s="12">
        <v>3.0999999046325701</v>
      </c>
      <c r="F56" s="12">
        <v>8.5</v>
      </c>
      <c r="G56" s="12">
        <v>-10.9</v>
      </c>
      <c r="H56" s="13">
        <v>102</v>
      </c>
      <c r="I56">
        <v>6164.1695799999998</v>
      </c>
      <c r="J56">
        <v>0</v>
      </c>
      <c r="K56">
        <v>6164.1695799999998</v>
      </c>
      <c r="L56">
        <v>73425.356679999997</v>
      </c>
      <c r="M56">
        <v>50.64564</v>
      </c>
      <c r="N56">
        <v>73476.00232</v>
      </c>
      <c r="O56">
        <v>15112980.309839999</v>
      </c>
      <c r="P56">
        <v>7751.1846400000004</v>
      </c>
      <c r="Q56">
        <v>15120731.494479999</v>
      </c>
      <c r="R56" s="13">
        <v>744</v>
      </c>
      <c r="S56" s="13">
        <v>0</v>
      </c>
      <c r="T56" s="13">
        <v>744</v>
      </c>
      <c r="U56" s="13">
        <v>0</v>
      </c>
    </row>
    <row r="57" spans="1:21" ht="14.4" x14ac:dyDescent="0.3">
      <c r="A57" s="21">
        <v>36</v>
      </c>
      <c r="B57" s="13">
        <v>1436</v>
      </c>
      <c r="C57" s="12">
        <v>4.6999998092651403</v>
      </c>
      <c r="D57" s="12"/>
      <c r="E57" s="12">
        <v>3.0999999046325701</v>
      </c>
      <c r="F57" s="12">
        <v>6</v>
      </c>
      <c r="G57" s="12">
        <v>-10.9</v>
      </c>
      <c r="H57" s="13">
        <v>84</v>
      </c>
      <c r="I57">
        <v>5040.6340999999993</v>
      </c>
      <c r="J57">
        <v>0</v>
      </c>
      <c r="K57">
        <v>5040.6340999999993</v>
      </c>
      <c r="L57">
        <v>60235.300559999996</v>
      </c>
      <c r="M57">
        <v>47.910240000000002</v>
      </c>
      <c r="N57">
        <v>60283.210800000001</v>
      </c>
      <c r="O57">
        <v>12910826.07284</v>
      </c>
      <c r="P57">
        <v>7902.6404399999992</v>
      </c>
      <c r="Q57">
        <v>12918728.71328</v>
      </c>
      <c r="R57" s="13">
        <v>744</v>
      </c>
      <c r="S57" s="13">
        <v>0</v>
      </c>
      <c r="T57" s="13">
        <v>744</v>
      </c>
      <c r="U57" s="13">
        <v>0</v>
      </c>
    </row>
    <row r="58" spans="1:21" ht="14.4" x14ac:dyDescent="0.3">
      <c r="A58" s="21">
        <v>37</v>
      </c>
      <c r="B58" s="13">
        <v>1438</v>
      </c>
      <c r="C58" s="12">
        <v>4.6999998092651403</v>
      </c>
      <c r="D58" s="12">
        <v>5.8000001907348597</v>
      </c>
      <c r="E58" s="12">
        <v>3.0999999046325701</v>
      </c>
      <c r="F58" s="12">
        <v>8</v>
      </c>
      <c r="G58" s="12">
        <v>-10.9</v>
      </c>
      <c r="H58" s="13">
        <v>92</v>
      </c>
      <c r="I58">
        <v>5510.8687600000003</v>
      </c>
      <c r="J58">
        <v>0</v>
      </c>
      <c r="K58">
        <v>5510.8687600000003</v>
      </c>
      <c r="L58">
        <v>65193.546740000005</v>
      </c>
      <c r="M58">
        <v>0.39769999999999994</v>
      </c>
      <c r="N58">
        <v>65193.944439999992</v>
      </c>
      <c r="O58">
        <v>12806821.964740001</v>
      </c>
      <c r="P58">
        <v>7639.4833200000003</v>
      </c>
      <c r="Q58">
        <v>12814461.448059998</v>
      </c>
      <c r="R58" s="13">
        <v>744</v>
      </c>
      <c r="S58" s="13">
        <v>0</v>
      </c>
      <c r="T58" s="13">
        <v>744</v>
      </c>
      <c r="U58" s="13">
        <v>0</v>
      </c>
    </row>
    <row r="59" spans="1:21" ht="14.4" x14ac:dyDescent="0.3">
      <c r="A59" s="21">
        <v>38</v>
      </c>
      <c r="B59" s="13">
        <v>1439</v>
      </c>
      <c r="C59" s="12">
        <v>4.6999998092651403</v>
      </c>
      <c r="D59" s="12">
        <v>4.5</v>
      </c>
      <c r="E59" s="12">
        <v>3.0999999046325701</v>
      </c>
      <c r="F59" s="12">
        <v>3</v>
      </c>
      <c r="G59" s="12">
        <v>-10.9</v>
      </c>
      <c r="H59" s="13">
        <v>45</v>
      </c>
      <c r="I59">
        <v>2729.9350199999999</v>
      </c>
      <c r="J59">
        <v>0</v>
      </c>
      <c r="K59">
        <v>2729.9350199999999</v>
      </c>
      <c r="L59">
        <v>32445.559099999999</v>
      </c>
      <c r="M59">
        <v>0.37247999999999998</v>
      </c>
      <c r="N59">
        <v>32445.931579999997</v>
      </c>
      <c r="O59">
        <v>11503624.3826</v>
      </c>
      <c r="P59">
        <v>6820.59962</v>
      </c>
      <c r="Q59">
        <v>11510444.98222</v>
      </c>
      <c r="R59" s="13">
        <v>744</v>
      </c>
      <c r="S59" s="13">
        <v>0</v>
      </c>
      <c r="T59" s="13">
        <v>744</v>
      </c>
      <c r="U59" s="13">
        <v>0</v>
      </c>
    </row>
    <row r="60" spans="1:21" ht="14.4" x14ac:dyDescent="0.3">
      <c r="A60" s="21">
        <v>39</v>
      </c>
      <c r="B60" s="13">
        <v>1440</v>
      </c>
      <c r="C60" s="12">
        <v>4.6999998092651403</v>
      </c>
      <c r="D60" s="12">
        <v>7</v>
      </c>
      <c r="E60" s="12">
        <v>3.0999999046325701</v>
      </c>
      <c r="F60" s="12">
        <v>-12</v>
      </c>
      <c r="G60" s="12">
        <v>-10.9</v>
      </c>
      <c r="H60" s="13">
        <v>65</v>
      </c>
      <c r="I60">
        <v>3897.3726999999999</v>
      </c>
      <c r="J60">
        <v>0</v>
      </c>
      <c r="K60">
        <v>3897.3726999999999</v>
      </c>
      <c r="L60">
        <v>45057.502979999997</v>
      </c>
      <c r="M60">
        <v>0.41903999999999997</v>
      </c>
      <c r="N60">
        <v>45057.922019999998</v>
      </c>
      <c r="O60">
        <v>10276530.9945</v>
      </c>
      <c r="P60">
        <v>5224.8817199999994</v>
      </c>
      <c r="Q60">
        <v>10281755.876219999</v>
      </c>
      <c r="R60" s="13">
        <v>744</v>
      </c>
      <c r="S60" s="13">
        <v>0</v>
      </c>
      <c r="T60" s="13">
        <v>744</v>
      </c>
      <c r="U60" s="13">
        <v>0</v>
      </c>
    </row>
    <row r="61" spans="1:21" ht="14.4" x14ac:dyDescent="0.3">
      <c r="A61" s="21">
        <v>40</v>
      </c>
      <c r="B61" s="13">
        <v>1441</v>
      </c>
      <c r="C61" s="12">
        <v>4.6999998092651403</v>
      </c>
      <c r="D61" s="12"/>
      <c r="E61" s="12">
        <v>3.0999999046325701</v>
      </c>
      <c r="F61" s="12">
        <v>7</v>
      </c>
      <c r="G61" s="12">
        <v>-10.9</v>
      </c>
      <c r="H61" s="13">
        <v>64</v>
      </c>
      <c r="I61">
        <v>3871.0915199999995</v>
      </c>
      <c r="J61">
        <v>0</v>
      </c>
      <c r="K61">
        <v>3871.0915199999995</v>
      </c>
      <c r="L61">
        <v>44510.873059999998</v>
      </c>
      <c r="M61">
        <v>45.539560000000002</v>
      </c>
      <c r="N61">
        <v>44556.412620000003</v>
      </c>
      <c r="O61">
        <v>13733946.822079999</v>
      </c>
      <c r="P61">
        <v>5947.3105599999999</v>
      </c>
      <c r="Q61">
        <v>13739894.13264</v>
      </c>
      <c r="R61" s="13">
        <v>744</v>
      </c>
      <c r="S61" s="13">
        <v>0</v>
      </c>
      <c r="T61" s="13">
        <v>744</v>
      </c>
      <c r="U61" s="13">
        <v>0</v>
      </c>
    </row>
    <row r="62" spans="1:21" ht="9" customHeight="1" x14ac:dyDescent="0.25">
      <c r="A62"/>
      <c r="B62" s="13">
        <v>23</v>
      </c>
      <c r="C62" s="12"/>
      <c r="D62" s="12"/>
      <c r="E62" s="12"/>
      <c r="F62" s="12"/>
      <c r="G62" s="12"/>
      <c r="H62" s="13"/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3"/>
      <c r="S62" s="13"/>
      <c r="T62" s="13"/>
      <c r="U62" s="13"/>
    </row>
    <row r="63" spans="1:21" ht="14.4" x14ac:dyDescent="0.3">
      <c r="A63" s="21">
        <v>41</v>
      </c>
      <c r="B63" s="13">
        <v>1444</v>
      </c>
      <c r="C63" s="12">
        <v>4</v>
      </c>
      <c r="D63" s="12">
        <v>8.1999998092651403</v>
      </c>
      <c r="E63" s="12">
        <v>3.2000000476837198</v>
      </c>
      <c r="F63" s="12">
        <v>0</v>
      </c>
      <c r="G63" s="12">
        <v>-7.7</v>
      </c>
      <c r="H63" s="13">
        <v>25</v>
      </c>
      <c r="I63">
        <v>1518.41472</v>
      </c>
      <c r="J63">
        <v>0</v>
      </c>
      <c r="K63">
        <v>1518.41472</v>
      </c>
      <c r="L63">
        <v>83756.65208</v>
      </c>
      <c r="M63">
        <v>20.532959999999999</v>
      </c>
      <c r="N63">
        <v>83777.185039999997</v>
      </c>
      <c r="O63">
        <v>14981583.29892</v>
      </c>
      <c r="P63">
        <v>8241.3527999999988</v>
      </c>
      <c r="Q63">
        <v>14989824.651719999</v>
      </c>
      <c r="R63" s="13">
        <v>744</v>
      </c>
      <c r="S63" s="13">
        <v>0</v>
      </c>
      <c r="T63" s="13">
        <v>744</v>
      </c>
      <c r="U63" s="13">
        <v>0</v>
      </c>
    </row>
    <row r="64" spans="1:21" ht="14.4" x14ac:dyDescent="0.3">
      <c r="A64" s="21">
        <v>42</v>
      </c>
      <c r="B64" s="13">
        <v>1445</v>
      </c>
      <c r="C64" s="12">
        <v>4.0999999046325701</v>
      </c>
      <c r="D64" s="12">
        <v>4.6999998092651403</v>
      </c>
      <c r="E64" s="12">
        <v>3.2000000476837198</v>
      </c>
      <c r="F64" s="12">
        <v>7</v>
      </c>
      <c r="G64" s="12">
        <v>-7.7</v>
      </c>
      <c r="H64" s="13">
        <v>77</v>
      </c>
      <c r="I64">
        <v>4653.1520799999998</v>
      </c>
      <c r="J64">
        <v>0</v>
      </c>
      <c r="K64">
        <v>4653.1520799999998</v>
      </c>
      <c r="L64">
        <v>41713.831499999993</v>
      </c>
      <c r="M64">
        <v>41.438399999999994</v>
      </c>
      <c r="N64">
        <v>41755.269899999999</v>
      </c>
      <c r="O64">
        <v>10395280.92814</v>
      </c>
      <c r="P64">
        <v>6908.3380599999991</v>
      </c>
      <c r="Q64">
        <v>10402189.2662</v>
      </c>
      <c r="R64" s="13">
        <v>744</v>
      </c>
      <c r="S64" s="13">
        <v>0</v>
      </c>
      <c r="T64" s="13">
        <v>744</v>
      </c>
      <c r="U64" s="13">
        <v>0</v>
      </c>
    </row>
    <row r="65" spans="1:21" ht="14.4" x14ac:dyDescent="0.3">
      <c r="A65" s="21">
        <v>43</v>
      </c>
      <c r="B65" s="13">
        <v>1446</v>
      </c>
      <c r="C65" s="12">
        <v>4.0999999046325701</v>
      </c>
      <c r="D65" s="12">
        <v>0.20000000298023199</v>
      </c>
      <c r="E65" s="12">
        <v>3.2000000476837198</v>
      </c>
      <c r="F65" s="12">
        <v>8</v>
      </c>
      <c r="G65" s="12">
        <v>-7.7</v>
      </c>
      <c r="H65" s="13">
        <v>82</v>
      </c>
      <c r="I65">
        <v>4921.4967599999991</v>
      </c>
      <c r="J65">
        <v>0</v>
      </c>
      <c r="K65">
        <v>4921.4967599999991</v>
      </c>
      <c r="L65">
        <v>45387.08958</v>
      </c>
      <c r="M65">
        <v>35.391419999999997</v>
      </c>
      <c r="N65">
        <v>45422.481</v>
      </c>
      <c r="O65">
        <v>10987159.978500001</v>
      </c>
      <c r="P65">
        <v>5852.3572599999998</v>
      </c>
      <c r="Q65">
        <v>10993012.335759999</v>
      </c>
      <c r="R65" s="13">
        <v>744</v>
      </c>
      <c r="S65" s="13">
        <v>0</v>
      </c>
      <c r="T65" s="13">
        <v>744</v>
      </c>
      <c r="U65" s="13">
        <v>0</v>
      </c>
    </row>
    <row r="66" spans="1:21" ht="14.4" x14ac:dyDescent="0.3">
      <c r="A66" s="21">
        <v>44</v>
      </c>
      <c r="B66" s="13">
        <v>1447</v>
      </c>
      <c r="C66" s="12">
        <v>4.0999999046325701</v>
      </c>
      <c r="D66" s="12">
        <v>0.5</v>
      </c>
      <c r="E66" s="12">
        <v>3.2000000476837198</v>
      </c>
      <c r="F66" s="12">
        <v>2</v>
      </c>
      <c r="G66" s="12">
        <v>-7.7</v>
      </c>
      <c r="H66" s="13">
        <v>79</v>
      </c>
      <c r="I66">
        <v>4767.47822</v>
      </c>
      <c r="J66">
        <v>0</v>
      </c>
      <c r="K66">
        <v>4767.47822</v>
      </c>
      <c r="L66">
        <v>49439.664219999999</v>
      </c>
      <c r="M66">
        <v>109.63328</v>
      </c>
      <c r="N66">
        <v>49549.297500000001</v>
      </c>
      <c r="O66">
        <v>11337681.3707</v>
      </c>
      <c r="P66">
        <v>4539.6911799999998</v>
      </c>
      <c r="Q66">
        <v>11342221.061879998</v>
      </c>
      <c r="R66" s="13">
        <v>744</v>
      </c>
      <c r="S66" s="13">
        <v>0</v>
      </c>
      <c r="T66" s="13">
        <v>744</v>
      </c>
      <c r="U66" s="13">
        <v>0</v>
      </c>
    </row>
    <row r="67" spans="1:21" ht="14.4" x14ac:dyDescent="0.3">
      <c r="A67" s="21">
        <v>45</v>
      </c>
      <c r="B67" s="13">
        <v>1450</v>
      </c>
      <c r="C67" s="12">
        <v>4</v>
      </c>
      <c r="D67" s="12"/>
      <c r="E67" s="12">
        <v>3.2000000476837198</v>
      </c>
      <c r="F67" s="12">
        <v>-3</v>
      </c>
      <c r="G67" s="12">
        <v>-7.7</v>
      </c>
      <c r="H67" s="13">
        <v>134</v>
      </c>
      <c r="I67">
        <v>8070.6075799999999</v>
      </c>
      <c r="J67">
        <v>0</v>
      </c>
      <c r="K67">
        <v>8070.6075799999999</v>
      </c>
      <c r="L67">
        <v>84017.993359999993</v>
      </c>
      <c r="M67">
        <v>10.487639999999999</v>
      </c>
      <c r="N67">
        <v>84028.481</v>
      </c>
      <c r="O67">
        <v>13379618.06542</v>
      </c>
      <c r="P67">
        <v>6049.5815399999992</v>
      </c>
      <c r="Q67">
        <v>13385667.64696</v>
      </c>
      <c r="R67" s="13">
        <v>744</v>
      </c>
      <c r="S67" s="13">
        <v>0</v>
      </c>
      <c r="T67" s="13">
        <v>744</v>
      </c>
      <c r="U67" s="13">
        <v>0</v>
      </c>
    </row>
    <row r="68" spans="1:21" ht="14.4" x14ac:dyDescent="0.3">
      <c r="A68" s="21">
        <v>46</v>
      </c>
      <c r="B68" s="13">
        <v>1451</v>
      </c>
      <c r="C68" s="12">
        <v>4</v>
      </c>
      <c r="D68" s="12"/>
      <c r="E68" s="12">
        <v>3.2000000476837198</v>
      </c>
      <c r="F68" s="12">
        <v>-1</v>
      </c>
      <c r="G68" s="12">
        <v>-7.7</v>
      </c>
      <c r="H68" s="13">
        <v>77</v>
      </c>
      <c r="I68">
        <v>671.55622000000005</v>
      </c>
      <c r="J68">
        <v>0</v>
      </c>
      <c r="K68">
        <v>671.55622000000005</v>
      </c>
      <c r="L68">
        <v>671.55622000000005</v>
      </c>
      <c r="M68">
        <v>2446.60772</v>
      </c>
      <c r="N68">
        <v>3118.1639399999999</v>
      </c>
      <c r="O68">
        <v>9422647.0037199985</v>
      </c>
      <c r="P68">
        <v>7909.9969200000005</v>
      </c>
      <c r="Q68">
        <v>9430557.0006399993</v>
      </c>
      <c r="R68" s="13">
        <v>108</v>
      </c>
      <c r="S68" s="13">
        <v>0</v>
      </c>
      <c r="T68" s="13">
        <v>108</v>
      </c>
      <c r="U68" s="13">
        <v>0</v>
      </c>
    </row>
    <row r="69" spans="1:21" ht="9" customHeight="1" x14ac:dyDescent="0.25">
      <c r="A69"/>
      <c r="B69" s="13">
        <v>23</v>
      </c>
      <c r="C69" s="12"/>
      <c r="D69" s="12"/>
      <c r="E69" s="12"/>
      <c r="F69" s="12"/>
      <c r="G69" s="12"/>
      <c r="H69" s="13"/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3"/>
      <c r="S69" s="13"/>
      <c r="T69" s="13"/>
      <c r="U69" s="13"/>
    </row>
    <row r="70" spans="1:21" ht="14.4" x14ac:dyDescent="0.3">
      <c r="A70" s="21">
        <v>47</v>
      </c>
      <c r="B70" s="13">
        <v>1455</v>
      </c>
      <c r="C70" s="12">
        <v>5.1999998092651403</v>
      </c>
      <c r="D70" s="12">
        <v>5.1999998092651403</v>
      </c>
      <c r="E70" s="12">
        <v>3.0999999046325701</v>
      </c>
      <c r="F70" s="12">
        <v>5.2</v>
      </c>
      <c r="G70" s="12">
        <v>-15.5</v>
      </c>
      <c r="H70" s="13">
        <v>45</v>
      </c>
      <c r="I70">
        <v>2706.6608399999996</v>
      </c>
      <c r="J70">
        <v>0</v>
      </c>
      <c r="K70">
        <v>2706.6608399999996</v>
      </c>
      <c r="L70">
        <v>27232.14084</v>
      </c>
      <c r="M70">
        <v>40.635240000000003</v>
      </c>
      <c r="N70">
        <v>27272.77608</v>
      </c>
      <c r="O70">
        <v>7980230.0144400001</v>
      </c>
      <c r="P70">
        <v>3698.1987199999999</v>
      </c>
      <c r="Q70">
        <v>7983928.2131599998</v>
      </c>
      <c r="R70" s="13">
        <v>744</v>
      </c>
      <c r="S70" s="13">
        <v>0</v>
      </c>
      <c r="T70" s="13">
        <v>744</v>
      </c>
      <c r="U70" s="13">
        <v>0</v>
      </c>
    </row>
    <row r="71" spans="1:21" ht="14.4" x14ac:dyDescent="0.3">
      <c r="A71" s="21">
        <v>48</v>
      </c>
      <c r="B71" s="13">
        <v>1456</v>
      </c>
      <c r="C71" s="12">
        <v>5.1999998092651403</v>
      </c>
      <c r="D71" s="12">
        <v>8</v>
      </c>
      <c r="E71" s="12">
        <v>3.0999999046325701</v>
      </c>
      <c r="F71" s="12">
        <v>8</v>
      </c>
      <c r="G71" s="12">
        <v>-15.5</v>
      </c>
      <c r="H71" s="13">
        <v>21</v>
      </c>
      <c r="I71">
        <v>1237.6210599999999</v>
      </c>
      <c r="J71">
        <v>0</v>
      </c>
      <c r="K71">
        <v>1237.6210599999999</v>
      </c>
      <c r="L71">
        <v>14296.3644</v>
      </c>
      <c r="M71">
        <v>12.41212</v>
      </c>
      <c r="N71">
        <v>14308.776519999999</v>
      </c>
      <c r="O71">
        <v>8174867.96404</v>
      </c>
      <c r="P71">
        <v>8639.9316200000012</v>
      </c>
      <c r="Q71">
        <v>8183507.8956599999</v>
      </c>
      <c r="R71" s="13">
        <v>744</v>
      </c>
      <c r="S71" s="13">
        <v>0</v>
      </c>
      <c r="T71" s="13">
        <v>744</v>
      </c>
      <c r="U71" s="13">
        <v>0</v>
      </c>
    </row>
    <row r="72" spans="1:21" ht="14.4" x14ac:dyDescent="0.3">
      <c r="A72" s="21">
        <v>49</v>
      </c>
      <c r="B72" s="13">
        <v>1458</v>
      </c>
      <c r="C72" s="12">
        <v>5.3000001907348597</v>
      </c>
      <c r="D72" s="12">
        <v>5.5</v>
      </c>
      <c r="E72" s="12">
        <v>3.0999999046325701</v>
      </c>
      <c r="F72" s="12">
        <v>5.5</v>
      </c>
      <c r="G72" s="12">
        <v>-15.5</v>
      </c>
      <c r="H72" s="13">
        <v>50</v>
      </c>
      <c r="I72">
        <v>3035.2056600000001</v>
      </c>
      <c r="J72">
        <v>0</v>
      </c>
      <c r="K72">
        <v>3035.2056600000001</v>
      </c>
      <c r="L72">
        <v>34785.268939999994</v>
      </c>
      <c r="M72">
        <v>9.1451600000000006</v>
      </c>
      <c r="N72">
        <v>34794.414099999995</v>
      </c>
      <c r="O72">
        <v>6189313.4543999992</v>
      </c>
      <c r="P72">
        <v>11475.9051</v>
      </c>
      <c r="Q72">
        <v>6200789.3594999993</v>
      </c>
      <c r="R72" s="13">
        <v>744</v>
      </c>
      <c r="S72" s="13">
        <v>0</v>
      </c>
      <c r="T72" s="13">
        <v>744</v>
      </c>
      <c r="U72" s="13">
        <v>0</v>
      </c>
    </row>
    <row r="73" spans="1:21" ht="14.4" x14ac:dyDescent="0.3">
      <c r="A73" s="21">
        <v>50</v>
      </c>
      <c r="B73" s="13">
        <v>1459</v>
      </c>
      <c r="C73" s="12">
        <v>5.3000001907348597</v>
      </c>
      <c r="D73" s="12"/>
      <c r="E73" s="12">
        <v>3.0999999046325701</v>
      </c>
      <c r="F73" s="12">
        <v>0</v>
      </c>
      <c r="G73" s="12">
        <v>-15.5</v>
      </c>
      <c r="H73" s="13">
        <v>59</v>
      </c>
      <c r="I73">
        <v>3529.25576</v>
      </c>
      <c r="J73">
        <v>0</v>
      </c>
      <c r="K73">
        <v>3529.25576</v>
      </c>
      <c r="L73">
        <v>31617.01226</v>
      </c>
      <c r="M73">
        <v>10.55166</v>
      </c>
      <c r="N73">
        <v>31627.563920000001</v>
      </c>
      <c r="O73">
        <v>8941000.1579200011</v>
      </c>
      <c r="P73">
        <v>6939.7136799999998</v>
      </c>
      <c r="Q73">
        <v>8947939.8715999983</v>
      </c>
      <c r="R73" s="13">
        <v>744</v>
      </c>
      <c r="S73" s="13">
        <v>0</v>
      </c>
      <c r="T73" s="13">
        <v>744</v>
      </c>
      <c r="U73" s="13">
        <v>0</v>
      </c>
    </row>
    <row r="74" spans="1:21" ht="9" customHeight="1" x14ac:dyDescent="0.25">
      <c r="A74"/>
      <c r="B74" s="13">
        <v>23</v>
      </c>
      <c r="C74" s="12"/>
      <c r="D74" s="12"/>
      <c r="E74" s="12"/>
      <c r="F74" s="12"/>
      <c r="G74" s="12"/>
      <c r="H74" s="13"/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3"/>
      <c r="S74" s="13"/>
      <c r="T74" s="13"/>
      <c r="U74" s="13"/>
    </row>
    <row r="75" spans="1:21" ht="14.4" x14ac:dyDescent="0.3">
      <c r="A75" s="21">
        <v>51</v>
      </c>
      <c r="B75" s="13">
        <v>1467</v>
      </c>
      <c r="C75" s="12">
        <v>8.8000001907348597</v>
      </c>
      <c r="D75" s="12">
        <v>12</v>
      </c>
      <c r="E75" s="12">
        <v>3.4000000953674299</v>
      </c>
      <c r="F75" s="12">
        <v>11</v>
      </c>
      <c r="G75" s="12">
        <v>-11.5</v>
      </c>
      <c r="H75" s="13">
        <v>81</v>
      </c>
      <c r="I75">
        <v>4841.9916799999992</v>
      </c>
      <c r="J75">
        <v>0</v>
      </c>
      <c r="K75">
        <v>4841.9916799999992</v>
      </c>
      <c r="L75">
        <v>61084.865360000003</v>
      </c>
      <c r="M75">
        <v>0.58199999999999996</v>
      </c>
      <c r="N75">
        <v>61085.447359999998</v>
      </c>
      <c r="O75">
        <v>9351668.1577599999</v>
      </c>
      <c r="P75">
        <v>4416.7165199999999</v>
      </c>
      <c r="Q75">
        <v>9356084.8742799982</v>
      </c>
      <c r="R75" s="13">
        <v>744</v>
      </c>
      <c r="S75" s="13">
        <v>0</v>
      </c>
      <c r="T75" s="13">
        <v>744</v>
      </c>
      <c r="U75" s="13">
        <v>0</v>
      </c>
    </row>
    <row r="76" spans="1:21" ht="9" customHeight="1" x14ac:dyDescent="0.25">
      <c r="A76"/>
      <c r="B76" s="13">
        <v>23</v>
      </c>
      <c r="C76" s="12"/>
      <c r="D76" s="12"/>
      <c r="E76" s="12"/>
      <c r="F76" s="12"/>
      <c r="G76" s="12"/>
      <c r="H76" s="13"/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3"/>
      <c r="S76" s="13"/>
      <c r="T76" s="13"/>
      <c r="U76" s="13"/>
    </row>
    <row r="77" spans="1:21" ht="14.4" x14ac:dyDescent="0.3">
      <c r="A77" s="21">
        <v>52</v>
      </c>
      <c r="B77" s="13">
        <v>1484</v>
      </c>
      <c r="C77" s="12">
        <v>4.1999998092651403</v>
      </c>
      <c r="D77" s="12">
        <v>6.9000000953674299</v>
      </c>
      <c r="E77" s="12">
        <v>3.2999999523162802</v>
      </c>
      <c r="F77" s="12">
        <v>4</v>
      </c>
      <c r="G77" s="12">
        <v>-9.6</v>
      </c>
      <c r="H77" s="13">
        <v>69</v>
      </c>
      <c r="I77">
        <v>4147.2544000000007</v>
      </c>
      <c r="J77">
        <v>0</v>
      </c>
      <c r="K77">
        <v>4147.2544000000007</v>
      </c>
      <c r="L77">
        <v>49208.389060000001</v>
      </c>
      <c r="M77">
        <v>9.6088199999999997</v>
      </c>
      <c r="N77">
        <v>49217.997879999995</v>
      </c>
      <c r="O77">
        <v>8769622.8180200011</v>
      </c>
      <c r="P77">
        <v>5385.6204199999993</v>
      </c>
      <c r="Q77">
        <v>8775008.4384399988</v>
      </c>
      <c r="R77" s="13">
        <v>744</v>
      </c>
      <c r="S77" s="13">
        <v>0</v>
      </c>
      <c r="T77" s="13">
        <v>744</v>
      </c>
      <c r="U77" s="13">
        <v>0</v>
      </c>
    </row>
    <row r="78" spans="1:21" ht="14.4" x14ac:dyDescent="0.3">
      <c r="A78" s="21">
        <v>53</v>
      </c>
      <c r="B78" s="13">
        <v>1486</v>
      </c>
      <c r="C78" s="12">
        <v>4.3000001907348597</v>
      </c>
      <c r="D78" s="12">
        <v>6.0999999046325701</v>
      </c>
      <c r="E78" s="12">
        <v>3.2999999523162802</v>
      </c>
      <c r="F78" s="12">
        <v>3</v>
      </c>
      <c r="G78" s="12">
        <v>-9.6</v>
      </c>
      <c r="H78" s="13">
        <v>58</v>
      </c>
      <c r="I78">
        <v>3463.2821799999997</v>
      </c>
      <c r="J78">
        <v>0</v>
      </c>
      <c r="K78">
        <v>3463.2821799999997</v>
      </c>
      <c r="L78">
        <v>41310.883800000003</v>
      </c>
      <c r="M78">
        <v>0.37247999999999998</v>
      </c>
      <c r="N78">
        <v>41311.256280000001</v>
      </c>
      <c r="O78">
        <v>9383451.3601200003</v>
      </c>
      <c r="P78">
        <v>6024.3595999999998</v>
      </c>
      <c r="Q78">
        <v>9389475.7197200004</v>
      </c>
      <c r="R78" s="13">
        <v>744</v>
      </c>
      <c r="S78" s="13">
        <v>0</v>
      </c>
      <c r="T78" s="13">
        <v>744</v>
      </c>
      <c r="U78" s="13">
        <v>0</v>
      </c>
    </row>
    <row r="79" spans="1:21" ht="14.4" x14ac:dyDescent="0.3">
      <c r="A79" s="21">
        <v>54</v>
      </c>
      <c r="B79" s="13">
        <v>1487</v>
      </c>
      <c r="C79" s="12">
        <v>4.1999998092651403</v>
      </c>
      <c r="D79" s="12">
        <v>7.4000000953674299</v>
      </c>
      <c r="E79" s="12">
        <v>3.2999999523162802</v>
      </c>
      <c r="F79" s="12">
        <v>4</v>
      </c>
      <c r="G79" s="12">
        <v>-9.6</v>
      </c>
      <c r="H79" s="13">
        <v>76</v>
      </c>
      <c r="I79">
        <v>4555.2441599999993</v>
      </c>
      <c r="J79">
        <v>0</v>
      </c>
      <c r="K79">
        <v>4555.2441599999993</v>
      </c>
      <c r="L79">
        <v>54209.840980000001</v>
      </c>
      <c r="M79">
        <v>0.38218000000000002</v>
      </c>
      <c r="N79">
        <v>54210.223160000001</v>
      </c>
      <c r="O79">
        <v>10782412.83828</v>
      </c>
      <c r="P79">
        <v>1795.62132</v>
      </c>
      <c r="Q79">
        <v>10784208.4596</v>
      </c>
      <c r="R79" s="13">
        <v>744</v>
      </c>
      <c r="S79" s="13">
        <v>0</v>
      </c>
      <c r="T79" s="13">
        <v>744</v>
      </c>
      <c r="U79" s="13">
        <v>0</v>
      </c>
    </row>
    <row r="80" spans="1:21" ht="14.4" x14ac:dyDescent="0.3">
      <c r="A80" s="21">
        <v>55</v>
      </c>
      <c r="B80" s="13">
        <v>1488</v>
      </c>
      <c r="C80" s="12">
        <v>4.3000001907348597</v>
      </c>
      <c r="D80" s="12">
        <v>6.9000000953674299</v>
      </c>
      <c r="E80" s="12">
        <v>3.2999999523162802</v>
      </c>
      <c r="F80" s="12">
        <v>4</v>
      </c>
      <c r="G80" s="12">
        <v>-9.6</v>
      </c>
      <c r="H80" s="13">
        <v>69</v>
      </c>
      <c r="I80">
        <v>4177.5048200000001</v>
      </c>
      <c r="J80">
        <v>0</v>
      </c>
      <c r="K80">
        <v>4177.5048200000001</v>
      </c>
      <c r="L80">
        <v>49931.681199999999</v>
      </c>
      <c r="M80">
        <v>0.38800000000000001</v>
      </c>
      <c r="N80">
        <v>49932.069199999998</v>
      </c>
      <c r="O80">
        <v>9287074.1311600003</v>
      </c>
      <c r="P80">
        <v>2167.1933999999997</v>
      </c>
      <c r="Q80">
        <v>9289241.3245599996</v>
      </c>
      <c r="R80" s="13">
        <v>744</v>
      </c>
      <c r="S80" s="13">
        <v>0</v>
      </c>
      <c r="T80" s="13">
        <v>744</v>
      </c>
      <c r="U80" s="13">
        <v>0</v>
      </c>
    </row>
    <row r="81" spans="1:21" ht="9" customHeight="1" x14ac:dyDescent="0.25">
      <c r="A81"/>
      <c r="B81" s="13">
        <v>23</v>
      </c>
      <c r="C81" s="12"/>
      <c r="D81" s="12"/>
      <c r="E81" s="12"/>
      <c r="F81" s="12"/>
      <c r="G81" s="12"/>
      <c r="H81" s="13"/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3"/>
      <c r="S81" s="13"/>
      <c r="T81" s="13"/>
      <c r="U81" s="13"/>
    </row>
    <row r="82" spans="1:21" ht="14.4" x14ac:dyDescent="0.3">
      <c r="A82" s="21">
        <v>56</v>
      </c>
      <c r="B82" s="13">
        <v>1514</v>
      </c>
      <c r="C82" s="12">
        <v>7</v>
      </c>
      <c r="D82" s="12">
        <v>8.6000003814697301</v>
      </c>
      <c r="E82" s="12">
        <v>3.0999999046325701</v>
      </c>
      <c r="F82" s="12">
        <v>7</v>
      </c>
      <c r="G82" s="12">
        <v>-10.9</v>
      </c>
      <c r="H82" s="13">
        <v>49</v>
      </c>
      <c r="I82">
        <v>2938.7411000000002</v>
      </c>
      <c r="J82">
        <v>0</v>
      </c>
      <c r="K82">
        <v>2938.7411000000002</v>
      </c>
      <c r="L82">
        <v>36981.760219999996</v>
      </c>
      <c r="M82">
        <v>0.41903999999999997</v>
      </c>
      <c r="N82">
        <v>36982.179259999997</v>
      </c>
      <c r="O82">
        <v>1706373.3698799999</v>
      </c>
      <c r="P82">
        <v>1732.8021799999999</v>
      </c>
      <c r="Q82">
        <v>1708106.17206</v>
      </c>
      <c r="R82" s="13">
        <v>744</v>
      </c>
      <c r="S82" s="13">
        <v>0</v>
      </c>
      <c r="T82" s="13">
        <v>744</v>
      </c>
      <c r="U82" s="13">
        <v>0</v>
      </c>
    </row>
    <row r="83" spans="1:21" ht="14.4" x14ac:dyDescent="0.3">
      <c r="A83" s="21">
        <v>57</v>
      </c>
      <c r="B83" s="13">
        <v>1515</v>
      </c>
      <c r="C83" s="12">
        <v>9</v>
      </c>
      <c r="D83" s="12">
        <v>10.199999809265099</v>
      </c>
      <c r="E83" s="12">
        <v>3.0999999046325701</v>
      </c>
      <c r="F83" s="12">
        <v>8.6</v>
      </c>
      <c r="G83" s="12">
        <v>-10.9</v>
      </c>
      <c r="H83" s="13">
        <v>44</v>
      </c>
      <c r="I83">
        <v>2616.2102799999998</v>
      </c>
      <c r="J83">
        <v>0</v>
      </c>
      <c r="K83">
        <v>2616.2102799999998</v>
      </c>
      <c r="L83">
        <v>33867.3851</v>
      </c>
      <c r="M83">
        <v>0.41321999999999998</v>
      </c>
      <c r="N83">
        <v>33867.798320000002</v>
      </c>
      <c r="O83">
        <v>2245576.1550799999</v>
      </c>
      <c r="P83">
        <v>2132.5488799999998</v>
      </c>
      <c r="Q83">
        <v>2247708.7039599996</v>
      </c>
      <c r="R83" s="13">
        <v>744</v>
      </c>
      <c r="S83" s="13">
        <v>0</v>
      </c>
      <c r="T83" s="13">
        <v>744</v>
      </c>
      <c r="U83" s="13">
        <v>0</v>
      </c>
    </row>
    <row r="84" spans="1:21" ht="14.4" x14ac:dyDescent="0.3">
      <c r="A84" s="21">
        <v>58</v>
      </c>
      <c r="B84" s="13">
        <v>1516</v>
      </c>
      <c r="C84" s="12">
        <v>7</v>
      </c>
      <c r="D84" s="12">
        <v>8.1999998092651403</v>
      </c>
      <c r="E84" s="12">
        <v>3.0999999046325701</v>
      </c>
      <c r="F84" s="12">
        <v>7.8</v>
      </c>
      <c r="G84" s="12">
        <v>-10.9</v>
      </c>
      <c r="H84" s="13">
        <v>42</v>
      </c>
      <c r="I84">
        <v>2539.0506599999999</v>
      </c>
      <c r="J84">
        <v>0</v>
      </c>
      <c r="K84">
        <v>2539.0506599999999</v>
      </c>
      <c r="L84">
        <v>36611.854599999999</v>
      </c>
      <c r="M84">
        <v>0.40739999999999998</v>
      </c>
      <c r="N84">
        <v>36612.261999999995</v>
      </c>
      <c r="O84">
        <v>1832804.6171200001</v>
      </c>
      <c r="P84">
        <v>2241.5632999999998</v>
      </c>
      <c r="Q84">
        <v>1835046.1804199999</v>
      </c>
      <c r="R84" s="13">
        <v>744</v>
      </c>
      <c r="S84" s="13">
        <v>0</v>
      </c>
      <c r="T84" s="13">
        <v>744</v>
      </c>
      <c r="U84" s="13">
        <v>0</v>
      </c>
    </row>
    <row r="85" spans="1:21" ht="14.4" x14ac:dyDescent="0.3">
      <c r="A85" s="21">
        <v>59</v>
      </c>
      <c r="B85" s="13">
        <v>1517</v>
      </c>
      <c r="C85" s="12">
        <v>5.3000001907348597</v>
      </c>
      <c r="D85" s="12">
        <v>7.1999998092651403</v>
      </c>
      <c r="E85" s="12">
        <v>3.0999999046325701</v>
      </c>
      <c r="F85" s="12">
        <v>9.9</v>
      </c>
      <c r="G85" s="12">
        <v>-10.9</v>
      </c>
      <c r="H85" s="13">
        <v>46</v>
      </c>
      <c r="I85">
        <v>2760.7868399999998</v>
      </c>
      <c r="J85">
        <v>0</v>
      </c>
      <c r="K85">
        <v>2760.7868399999998</v>
      </c>
      <c r="L85">
        <v>32373.957579999998</v>
      </c>
      <c r="M85">
        <v>0.40933999999999998</v>
      </c>
      <c r="N85">
        <v>32374.366919999997</v>
      </c>
      <c r="O85">
        <v>1690826.9858800001</v>
      </c>
      <c r="P85">
        <v>2501.72894</v>
      </c>
      <c r="Q85">
        <v>1693328.7148199999</v>
      </c>
      <c r="R85" s="13">
        <v>744</v>
      </c>
      <c r="S85" s="13">
        <v>0</v>
      </c>
      <c r="T85" s="13">
        <v>744</v>
      </c>
      <c r="U85" s="13">
        <v>0</v>
      </c>
    </row>
    <row r="86" spans="1:21" ht="9" customHeight="1" x14ac:dyDescent="0.25">
      <c r="A86"/>
      <c r="B86" s="13">
        <v>23</v>
      </c>
      <c r="C86" s="12"/>
      <c r="D86" s="12"/>
      <c r="E86" s="12"/>
      <c r="F86" s="12"/>
      <c r="G86" s="12"/>
      <c r="H86" s="13"/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3"/>
      <c r="S86" s="13"/>
      <c r="T86" s="13"/>
      <c r="U86" s="13"/>
    </row>
    <row r="87" spans="1:21" ht="14.4" x14ac:dyDescent="0.3">
      <c r="A87" s="21">
        <v>60</v>
      </c>
      <c r="B87" s="13">
        <v>1526</v>
      </c>
      <c r="C87" s="12">
        <v>12.199999809265099</v>
      </c>
      <c r="D87" s="12">
        <v>14.800000190734901</v>
      </c>
      <c r="E87" s="12">
        <v>3.0999999046325701</v>
      </c>
      <c r="F87" s="12">
        <v>-14</v>
      </c>
      <c r="G87" s="12">
        <v>-15.5</v>
      </c>
      <c r="H87" s="13">
        <v>34</v>
      </c>
      <c r="I87">
        <v>2051.0145599999996</v>
      </c>
      <c r="J87">
        <v>0</v>
      </c>
      <c r="K87">
        <v>2051.0145599999996</v>
      </c>
      <c r="L87">
        <v>19365.646479999999</v>
      </c>
      <c r="M87">
        <v>0</v>
      </c>
      <c r="N87">
        <v>19365.646479999999</v>
      </c>
      <c r="O87">
        <v>1721866.0740800002</v>
      </c>
      <c r="P87">
        <v>2386.3939999999998</v>
      </c>
      <c r="Q87">
        <v>1724252.46808</v>
      </c>
      <c r="R87" s="13">
        <v>744</v>
      </c>
      <c r="S87" s="13">
        <v>0</v>
      </c>
      <c r="T87" s="13">
        <v>744</v>
      </c>
      <c r="U87" s="13">
        <v>0</v>
      </c>
    </row>
    <row r="88" spans="1:21" ht="14.4" x14ac:dyDescent="0.3">
      <c r="A88" s="21">
        <v>61</v>
      </c>
      <c r="B88" s="13">
        <v>1527</v>
      </c>
      <c r="C88" s="12">
        <v>14.5</v>
      </c>
      <c r="D88" s="12">
        <v>15</v>
      </c>
      <c r="E88" s="12">
        <v>3.0999999046325701</v>
      </c>
      <c r="F88" s="12">
        <v>2.2000000000000002</v>
      </c>
      <c r="G88" s="12">
        <v>-15.5</v>
      </c>
      <c r="H88" s="13">
        <v>76</v>
      </c>
      <c r="I88">
        <v>4577.1952599999995</v>
      </c>
      <c r="J88">
        <v>0</v>
      </c>
      <c r="K88">
        <v>4577.1952599999995</v>
      </c>
      <c r="L88">
        <v>52593.910219999998</v>
      </c>
      <c r="M88">
        <v>1.2280199999999999</v>
      </c>
      <c r="N88">
        <v>52595.13824</v>
      </c>
      <c r="O88">
        <v>1892193.7905599999</v>
      </c>
      <c r="P88">
        <v>2021.9843999999998</v>
      </c>
      <c r="Q88">
        <v>1894215.7749599998</v>
      </c>
      <c r="R88" s="13">
        <v>744</v>
      </c>
      <c r="S88" s="13">
        <v>0</v>
      </c>
      <c r="T88" s="13">
        <v>744</v>
      </c>
      <c r="U88" s="13">
        <v>0</v>
      </c>
    </row>
    <row r="89" spans="1:21" x14ac:dyDescent="0.25">
      <c r="A89" t="s">
        <v>28</v>
      </c>
      <c r="B89" s="13">
        <v>23</v>
      </c>
      <c r="C89" s="12"/>
      <c r="D89" s="12"/>
      <c r="E89" s="12"/>
      <c r="F89" s="12"/>
      <c r="G89" s="12"/>
      <c r="H89" s="13"/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3"/>
      <c r="S89" s="13"/>
      <c r="T89" s="13"/>
      <c r="U89" s="13"/>
    </row>
    <row r="90" spans="1:21" ht="14.4" x14ac:dyDescent="0.3">
      <c r="A90" s="21">
        <v>62</v>
      </c>
      <c r="B90" s="13">
        <v>1336</v>
      </c>
      <c r="C90" s="12">
        <v>4</v>
      </c>
      <c r="D90" s="12"/>
      <c r="E90" s="12">
        <v>3.0999999046325701</v>
      </c>
      <c r="F90" s="12">
        <v>-5</v>
      </c>
      <c r="G90" s="12">
        <v>-17</v>
      </c>
      <c r="H90" s="13">
        <v>23</v>
      </c>
      <c r="I90">
        <v>1.8235999999999999</v>
      </c>
      <c r="J90">
        <v>0</v>
      </c>
      <c r="K90">
        <v>1.8235999999999999</v>
      </c>
      <c r="L90">
        <v>22.236279999999997</v>
      </c>
      <c r="M90">
        <v>0</v>
      </c>
      <c r="N90">
        <v>22.236279999999997</v>
      </c>
      <c r="O90">
        <v>10399450.445979999</v>
      </c>
      <c r="P90">
        <v>7661.3723399999999</v>
      </c>
      <c r="Q90">
        <v>10407111.818319999</v>
      </c>
      <c r="R90" s="13">
        <v>1</v>
      </c>
      <c r="S90" s="13">
        <v>743</v>
      </c>
      <c r="T90" s="13">
        <v>744</v>
      </c>
      <c r="U90" s="13">
        <v>6</v>
      </c>
    </row>
    <row r="91" spans="1:21" ht="9" customHeight="1" x14ac:dyDescent="0.25">
      <c r="A91"/>
      <c r="B91" s="13">
        <v>23</v>
      </c>
      <c r="C91" s="12"/>
      <c r="D91" s="12"/>
      <c r="E91" s="12"/>
      <c r="F91" s="12"/>
      <c r="G91" s="12"/>
      <c r="H91" s="13"/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3"/>
      <c r="S91" s="13"/>
      <c r="T91" s="13"/>
      <c r="U91" s="13"/>
    </row>
    <row r="92" spans="1:21" ht="14.4" x14ac:dyDescent="0.3">
      <c r="A92" s="21">
        <v>63</v>
      </c>
      <c r="B92" s="13">
        <v>1345</v>
      </c>
      <c r="C92" s="12">
        <v>3.7000000476837198</v>
      </c>
      <c r="D92" s="12">
        <v>5.1999998092651403</v>
      </c>
      <c r="E92" s="12">
        <v>3.0999999046325701</v>
      </c>
      <c r="F92" s="12">
        <v>3</v>
      </c>
      <c r="G92" s="12">
        <v>-13.7</v>
      </c>
      <c r="H92" s="13">
        <v>53</v>
      </c>
      <c r="I92">
        <v>3201.8749400000002</v>
      </c>
      <c r="J92">
        <v>3.5288599999999999</v>
      </c>
      <c r="K92">
        <v>3205.4038</v>
      </c>
      <c r="L92">
        <v>29672.414459999996</v>
      </c>
      <c r="M92">
        <v>8.970559999999999</v>
      </c>
      <c r="N92">
        <v>29681.385020000002</v>
      </c>
      <c r="O92">
        <v>13840663.18792</v>
      </c>
      <c r="P92">
        <v>8567.2805599999992</v>
      </c>
      <c r="Q92">
        <v>13849230.46848</v>
      </c>
      <c r="R92" s="13">
        <v>743</v>
      </c>
      <c r="S92" s="13">
        <v>1</v>
      </c>
      <c r="T92" s="13">
        <v>744</v>
      </c>
      <c r="U92" s="13">
        <v>2</v>
      </c>
    </row>
    <row r="93" spans="1:21" ht="14.4" x14ac:dyDescent="0.3">
      <c r="A93" s="21">
        <v>64</v>
      </c>
      <c r="B93" s="13">
        <v>1351</v>
      </c>
      <c r="C93" s="12">
        <v>4</v>
      </c>
      <c r="D93" s="12">
        <v>7</v>
      </c>
      <c r="E93" s="12">
        <v>3.0999999046325701</v>
      </c>
      <c r="F93" s="12">
        <v>0</v>
      </c>
      <c r="G93" s="12">
        <v>-13.7</v>
      </c>
      <c r="H93" s="13">
        <v>78</v>
      </c>
      <c r="I93">
        <v>4699.69074</v>
      </c>
      <c r="J93">
        <v>4.5066199999999998</v>
      </c>
      <c r="K93">
        <v>4704.1973600000001</v>
      </c>
      <c r="L93">
        <v>46363.095820000002</v>
      </c>
      <c r="M93">
        <v>19.304940000000002</v>
      </c>
      <c r="N93">
        <v>46382.400760000004</v>
      </c>
      <c r="O93">
        <v>14960731.724959999</v>
      </c>
      <c r="P93">
        <v>9742.3133399999988</v>
      </c>
      <c r="Q93">
        <v>14970474.0383</v>
      </c>
      <c r="R93" s="13">
        <v>743</v>
      </c>
      <c r="S93" s="13">
        <v>1</v>
      </c>
      <c r="T93" s="13">
        <v>744</v>
      </c>
      <c r="U93" s="13">
        <v>2</v>
      </c>
    </row>
    <row r="94" spans="1:21" ht="9" customHeight="1" x14ac:dyDescent="0.25">
      <c r="A94"/>
      <c r="B94" s="13">
        <v>23</v>
      </c>
      <c r="C94" s="12"/>
      <c r="D94" s="12"/>
      <c r="E94" s="12"/>
      <c r="F94" s="12"/>
      <c r="G94" s="12"/>
      <c r="H94" s="13"/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3"/>
      <c r="S94" s="13"/>
      <c r="T94" s="13"/>
      <c r="U94" s="13"/>
    </row>
    <row r="95" spans="1:21" ht="14.4" x14ac:dyDescent="0.3">
      <c r="A95" s="21">
        <v>65</v>
      </c>
      <c r="B95" s="13">
        <v>1405</v>
      </c>
      <c r="C95" s="12">
        <v>3.7999999523162802</v>
      </c>
      <c r="D95" s="12">
        <v>5.6999998092651403</v>
      </c>
      <c r="E95" s="12">
        <v>3.0999999046325701</v>
      </c>
      <c r="F95" s="12">
        <v>1</v>
      </c>
      <c r="G95" s="12">
        <v>-20.399999999999999</v>
      </c>
      <c r="H95" s="13">
        <v>31</v>
      </c>
      <c r="I95">
        <v>1872.2843</v>
      </c>
      <c r="J95">
        <v>4.3940999999999999</v>
      </c>
      <c r="K95">
        <v>1876.6784</v>
      </c>
      <c r="L95">
        <v>19541.175740000002</v>
      </c>
      <c r="M95">
        <v>57.228059999999999</v>
      </c>
      <c r="N95">
        <v>19598.4038</v>
      </c>
      <c r="O95">
        <v>5787018.7525799992</v>
      </c>
      <c r="P95">
        <v>9056.0034199999991</v>
      </c>
      <c r="Q95">
        <v>5796074.7560000001</v>
      </c>
      <c r="R95" s="13">
        <v>743</v>
      </c>
      <c r="S95" s="13">
        <v>1</v>
      </c>
      <c r="T95" s="13">
        <v>744</v>
      </c>
      <c r="U95" s="13">
        <v>2</v>
      </c>
    </row>
    <row r="96" spans="1:21" ht="14.4" x14ac:dyDescent="0.3">
      <c r="A96" s="21">
        <v>66</v>
      </c>
      <c r="B96" s="13">
        <v>1407</v>
      </c>
      <c r="C96" s="12">
        <v>3.7999999523162802</v>
      </c>
      <c r="D96" s="12">
        <v>5.0999999046325701</v>
      </c>
      <c r="E96" s="12">
        <v>3.0999999046325701</v>
      </c>
      <c r="F96" s="12">
        <v>-1</v>
      </c>
      <c r="G96" s="12">
        <v>-20.399999999999999</v>
      </c>
      <c r="H96" s="13">
        <v>35</v>
      </c>
      <c r="I96">
        <v>2117.2655599999998</v>
      </c>
      <c r="J96">
        <v>4.4096200000000003</v>
      </c>
      <c r="K96">
        <v>2121.6751799999997</v>
      </c>
      <c r="L96">
        <v>24423.521359999999</v>
      </c>
      <c r="M96">
        <v>68.604219999999998</v>
      </c>
      <c r="N96">
        <v>24492.12558</v>
      </c>
      <c r="O96">
        <v>7243876.3801799994</v>
      </c>
      <c r="P96">
        <v>7687.7990199999995</v>
      </c>
      <c r="Q96">
        <v>7251564.1792000001</v>
      </c>
      <c r="R96" s="13">
        <v>743</v>
      </c>
      <c r="S96" s="13">
        <v>1</v>
      </c>
      <c r="T96" s="13">
        <v>744</v>
      </c>
      <c r="U96" s="13">
        <v>2</v>
      </c>
    </row>
    <row r="97" spans="1:21" ht="9" customHeight="1" x14ac:dyDescent="0.25">
      <c r="A97"/>
      <c r="B97" s="13">
        <v>23</v>
      </c>
      <c r="C97" s="12"/>
      <c r="D97" s="12"/>
      <c r="E97" s="12"/>
      <c r="F97" s="12"/>
      <c r="G97" s="12"/>
      <c r="H97" s="13"/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3"/>
      <c r="S97" s="13"/>
      <c r="T97" s="13"/>
      <c r="U97" s="13"/>
    </row>
    <row r="98" spans="1:21" ht="14.4" x14ac:dyDescent="0.3">
      <c r="A98" s="21">
        <v>67</v>
      </c>
      <c r="B98" s="13">
        <v>1417</v>
      </c>
      <c r="C98" s="12">
        <v>3.5999999046325701</v>
      </c>
      <c r="D98" s="12">
        <v>5</v>
      </c>
      <c r="E98" s="12">
        <v>3.0999999046325701</v>
      </c>
      <c r="F98" s="12">
        <v>4</v>
      </c>
      <c r="G98" s="12">
        <v>-13.4</v>
      </c>
      <c r="H98" s="13">
        <v>41</v>
      </c>
      <c r="I98">
        <v>2460.5582599999998</v>
      </c>
      <c r="J98">
        <v>0</v>
      </c>
      <c r="K98">
        <v>2460.5582599999998</v>
      </c>
      <c r="L98">
        <v>24175.399239999999</v>
      </c>
      <c r="M98">
        <v>18.973199999999999</v>
      </c>
      <c r="N98">
        <v>24194.372439999999</v>
      </c>
      <c r="O98">
        <v>9133712.9135999996</v>
      </c>
      <c r="P98">
        <v>8715.8496400000004</v>
      </c>
      <c r="Q98">
        <v>9142428.7632399984</v>
      </c>
      <c r="R98" s="13">
        <v>740</v>
      </c>
      <c r="S98" s="13">
        <v>4</v>
      </c>
      <c r="T98" s="13">
        <v>744</v>
      </c>
      <c r="U98" s="13">
        <v>1</v>
      </c>
    </row>
    <row r="99" spans="1:21" ht="14.4" x14ac:dyDescent="0.3">
      <c r="A99" s="21">
        <v>68</v>
      </c>
      <c r="B99" s="13">
        <v>1421</v>
      </c>
      <c r="C99" s="12">
        <v>3.5999999046325701</v>
      </c>
      <c r="D99" s="12">
        <v>6.1999998092651403</v>
      </c>
      <c r="E99" s="12">
        <v>3.0999999046325701</v>
      </c>
      <c r="F99" s="12">
        <v>-15</v>
      </c>
      <c r="G99" s="12">
        <v>-13.4</v>
      </c>
      <c r="H99" s="13">
        <v>37</v>
      </c>
      <c r="I99">
        <v>3.00312</v>
      </c>
      <c r="J99">
        <v>14.509259999999999</v>
      </c>
      <c r="K99">
        <v>17.512379999999997</v>
      </c>
      <c r="L99">
        <v>18004.565759999998</v>
      </c>
      <c r="M99">
        <v>69.131899999999987</v>
      </c>
      <c r="N99">
        <v>18073.697659999998</v>
      </c>
      <c r="O99">
        <v>8429865.6360999998</v>
      </c>
      <c r="P99">
        <v>8393.3323999999993</v>
      </c>
      <c r="Q99">
        <v>8438258.9685000014</v>
      </c>
      <c r="R99" s="13">
        <v>1</v>
      </c>
      <c r="S99" s="13">
        <v>743</v>
      </c>
      <c r="T99" s="13">
        <v>744</v>
      </c>
      <c r="U99" s="13">
        <v>6</v>
      </c>
    </row>
    <row r="100" spans="1:21" ht="9" customHeight="1" x14ac:dyDescent="0.25">
      <c r="A100"/>
      <c r="B100" s="13">
        <v>23</v>
      </c>
      <c r="C100" s="12"/>
      <c r="D100" s="12"/>
      <c r="E100" s="12"/>
      <c r="F100" s="12"/>
      <c r="G100" s="12"/>
      <c r="H100" s="13"/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3"/>
      <c r="S100" s="13"/>
      <c r="T100" s="13"/>
      <c r="U100" s="13"/>
    </row>
    <row r="101" spans="1:21" ht="14.4" x14ac:dyDescent="0.3">
      <c r="A101" s="21">
        <v>69</v>
      </c>
      <c r="B101" s="13">
        <v>1435</v>
      </c>
      <c r="C101" s="12">
        <v>4.6999998092651403</v>
      </c>
      <c r="D101" s="12"/>
      <c r="E101" s="12">
        <v>3.0999999046325701</v>
      </c>
      <c r="F101" s="12">
        <v>-5</v>
      </c>
      <c r="G101" s="12">
        <v>-10.9</v>
      </c>
      <c r="H101" s="13">
        <v>39</v>
      </c>
      <c r="I101">
        <v>3.11564</v>
      </c>
      <c r="J101">
        <v>0</v>
      </c>
      <c r="K101">
        <v>3.11564</v>
      </c>
      <c r="L101">
        <v>41.108600000000003</v>
      </c>
      <c r="M101">
        <v>0</v>
      </c>
      <c r="N101">
        <v>41.108600000000003</v>
      </c>
      <c r="O101">
        <v>9384606.8318799995</v>
      </c>
      <c r="P101">
        <v>9975.7574199999999</v>
      </c>
      <c r="Q101">
        <v>9394582.5892999992</v>
      </c>
      <c r="R101" s="13">
        <v>1</v>
      </c>
      <c r="S101" s="13">
        <v>743</v>
      </c>
      <c r="T101" s="13">
        <v>744</v>
      </c>
      <c r="U101" s="13">
        <v>6</v>
      </c>
    </row>
    <row r="102" spans="1:21" ht="14.4" x14ac:dyDescent="0.3">
      <c r="A102" s="21">
        <v>70</v>
      </c>
      <c r="B102" s="13">
        <v>1437</v>
      </c>
      <c r="C102" s="12">
        <v>4.6999998092651403</v>
      </c>
      <c r="D102" s="12"/>
      <c r="E102" s="12">
        <v>3.0999999046325701</v>
      </c>
      <c r="F102" s="12">
        <v>-5</v>
      </c>
      <c r="G102" s="12">
        <v>-10.9</v>
      </c>
      <c r="H102" s="13">
        <v>25</v>
      </c>
      <c r="I102">
        <v>2.0195399999999997</v>
      </c>
      <c r="J102">
        <v>0</v>
      </c>
      <c r="K102">
        <v>2.0195399999999997</v>
      </c>
      <c r="L102">
        <v>27.066879999999998</v>
      </c>
      <c r="M102">
        <v>0</v>
      </c>
      <c r="N102">
        <v>27.066879999999998</v>
      </c>
      <c r="O102">
        <v>8997873.9719799999</v>
      </c>
      <c r="P102">
        <v>8222.6104599999999</v>
      </c>
      <c r="Q102">
        <v>9006096.58244</v>
      </c>
      <c r="R102" s="13">
        <v>1</v>
      </c>
      <c r="S102" s="13">
        <v>743</v>
      </c>
      <c r="T102" s="13">
        <v>744</v>
      </c>
      <c r="U102" s="13">
        <v>6</v>
      </c>
    </row>
    <row r="103" spans="1:21" ht="9" customHeight="1" x14ac:dyDescent="0.25">
      <c r="A103"/>
      <c r="B103" s="13">
        <v>23</v>
      </c>
      <c r="C103" s="12"/>
      <c r="D103" s="12"/>
      <c r="E103" s="12"/>
      <c r="F103" s="12"/>
      <c r="G103" s="12"/>
      <c r="H103" s="13"/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3"/>
      <c r="S103" s="13"/>
      <c r="T103" s="13"/>
      <c r="U103" s="13"/>
    </row>
    <row r="104" spans="1:21" ht="14.4" x14ac:dyDescent="0.3">
      <c r="A104" s="21">
        <v>71</v>
      </c>
      <c r="B104" s="13">
        <v>1449</v>
      </c>
      <c r="C104" s="12">
        <v>4.0999999046325701</v>
      </c>
      <c r="D104" s="12">
        <v>9</v>
      </c>
      <c r="E104" s="12">
        <v>3.2000000476837198</v>
      </c>
      <c r="F104" s="12">
        <v>-12</v>
      </c>
      <c r="G104" s="12">
        <v>-7.7</v>
      </c>
      <c r="H104" s="13">
        <v>69</v>
      </c>
      <c r="I104">
        <v>4148.1157600000006</v>
      </c>
      <c r="J104">
        <v>9.3605</v>
      </c>
      <c r="K104">
        <v>4157.4762599999995</v>
      </c>
      <c r="L104">
        <v>43712.693039999998</v>
      </c>
      <c r="M104">
        <v>29.189239999999998</v>
      </c>
      <c r="N104">
        <v>43741.882279999998</v>
      </c>
      <c r="O104">
        <v>8973317.6227000002</v>
      </c>
      <c r="P104">
        <v>6513.20856</v>
      </c>
      <c r="Q104">
        <v>8979830.8312599994</v>
      </c>
      <c r="R104" s="13">
        <v>739</v>
      </c>
      <c r="S104" s="13">
        <v>5</v>
      </c>
      <c r="T104" s="13">
        <v>744</v>
      </c>
      <c r="U104" s="13">
        <v>1</v>
      </c>
    </row>
    <row r="105" spans="1:21" ht="9" customHeight="1" x14ac:dyDescent="0.25">
      <c r="A105"/>
      <c r="B105" s="13">
        <v>23</v>
      </c>
      <c r="C105" s="12"/>
      <c r="D105" s="12"/>
      <c r="E105" s="12"/>
      <c r="F105" s="12"/>
      <c r="G105" s="12"/>
      <c r="H105" s="13"/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3"/>
      <c r="S105" s="13"/>
      <c r="T105" s="13"/>
      <c r="U105" s="13"/>
    </row>
    <row r="106" spans="1:21" ht="14.4" x14ac:dyDescent="0.3">
      <c r="A106" s="21">
        <v>72</v>
      </c>
      <c r="B106" s="13">
        <v>1454</v>
      </c>
      <c r="C106" s="12">
        <v>4.9000000953674299</v>
      </c>
      <c r="D106" s="12">
        <v>11.800000190734901</v>
      </c>
      <c r="E106" s="12">
        <v>3.0999999046325701</v>
      </c>
      <c r="F106" s="12">
        <v>11.8</v>
      </c>
      <c r="G106" s="12">
        <v>-15.5</v>
      </c>
      <c r="H106" s="13">
        <v>158</v>
      </c>
      <c r="I106">
        <v>9499.9316799999997</v>
      </c>
      <c r="J106">
        <v>3.7829999999999999</v>
      </c>
      <c r="K106">
        <v>9503.7146799999991</v>
      </c>
      <c r="L106">
        <v>115712.29522</v>
      </c>
      <c r="M106">
        <v>54.294779999999996</v>
      </c>
      <c r="N106">
        <v>115766.59</v>
      </c>
      <c r="O106">
        <v>12800149.36578</v>
      </c>
      <c r="P106">
        <v>8485.0032199999987</v>
      </c>
      <c r="Q106">
        <v>12808634.368999999</v>
      </c>
      <c r="R106" s="13">
        <v>743</v>
      </c>
      <c r="S106" s="13">
        <v>1</v>
      </c>
      <c r="T106" s="13">
        <v>744</v>
      </c>
      <c r="U106" s="13">
        <v>2</v>
      </c>
    </row>
    <row r="107" spans="1:21" x14ac:dyDescent="0.25">
      <c r="A107" t="s">
        <v>29</v>
      </c>
      <c r="B107" s="13">
        <v>23</v>
      </c>
      <c r="C107" s="12"/>
      <c r="D107" s="12"/>
      <c r="E107" s="12"/>
      <c r="F107" s="12"/>
      <c r="G107" s="12"/>
      <c r="H107" s="13"/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3"/>
      <c r="S107" s="13"/>
      <c r="T107" s="13"/>
      <c r="U107" s="13"/>
    </row>
    <row r="108" spans="1:21" ht="14.4" x14ac:dyDescent="0.3">
      <c r="A108" s="21">
        <v>73</v>
      </c>
      <c r="B108" s="13">
        <v>1339</v>
      </c>
      <c r="C108" s="12"/>
      <c r="D108" s="12"/>
      <c r="E108" s="12">
        <v>3.0999999046325701</v>
      </c>
      <c r="F108" s="12" t="s">
        <v>30</v>
      </c>
      <c r="G108" s="12">
        <v>-17</v>
      </c>
      <c r="H108" s="13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10021187.11974</v>
      </c>
      <c r="P108">
        <v>9600.4779999999992</v>
      </c>
      <c r="Q108">
        <v>10030787.59774</v>
      </c>
      <c r="R108" s="13">
        <v>0</v>
      </c>
      <c r="S108" s="13">
        <v>0</v>
      </c>
      <c r="T108" s="13">
        <v>0</v>
      </c>
      <c r="U108" s="13">
        <v>0</v>
      </c>
    </row>
    <row r="109" spans="1:21" ht="9" customHeight="1" x14ac:dyDescent="0.25">
      <c r="A109"/>
      <c r="B109" s="13">
        <v>23</v>
      </c>
      <c r="C109" s="12"/>
      <c r="D109" s="12"/>
      <c r="E109" s="12"/>
      <c r="F109" s="12"/>
      <c r="G109" s="12"/>
      <c r="H109" s="13"/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3"/>
      <c r="S109" s="13"/>
      <c r="T109" s="13"/>
      <c r="U109" s="13"/>
    </row>
    <row r="110" spans="1:21" ht="14.4" x14ac:dyDescent="0.3">
      <c r="A110" s="21">
        <v>74</v>
      </c>
      <c r="B110" s="13">
        <v>1347</v>
      </c>
      <c r="C110" s="12"/>
      <c r="D110" s="12"/>
      <c r="E110" s="12">
        <v>3.0999999046325701</v>
      </c>
      <c r="F110" s="12" t="s">
        <v>30</v>
      </c>
      <c r="G110" s="12">
        <v>-13.7</v>
      </c>
      <c r="H110" s="13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12823179.557800001</v>
      </c>
      <c r="P110">
        <v>7327.5739999999996</v>
      </c>
      <c r="Q110">
        <v>12830507.1318</v>
      </c>
      <c r="R110" s="13">
        <v>0</v>
      </c>
      <c r="S110" s="13">
        <v>0</v>
      </c>
      <c r="T110" s="13">
        <v>0</v>
      </c>
      <c r="U110" s="13">
        <v>0</v>
      </c>
    </row>
    <row r="111" spans="1:21" ht="9" customHeight="1" x14ac:dyDescent="0.25">
      <c r="A111"/>
      <c r="B111" s="13">
        <v>23</v>
      </c>
      <c r="C111" s="12"/>
      <c r="D111" s="12"/>
      <c r="E111" s="12"/>
      <c r="F111" s="12"/>
      <c r="G111" s="12"/>
      <c r="H111" s="13"/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3"/>
      <c r="S111" s="13"/>
      <c r="T111" s="13"/>
      <c r="U111" s="13"/>
    </row>
    <row r="112" spans="1:21" ht="14.4" x14ac:dyDescent="0.3">
      <c r="A112" s="21">
        <v>75</v>
      </c>
      <c r="B112" s="13">
        <v>1364</v>
      </c>
      <c r="C112" s="12"/>
      <c r="D112" s="12"/>
      <c r="E112" s="12"/>
      <c r="F112" s="12" t="s">
        <v>30</v>
      </c>
      <c r="G112" s="12" t="s">
        <v>30</v>
      </c>
      <c r="H112" s="13">
        <v>0</v>
      </c>
      <c r="I112">
        <v>0</v>
      </c>
      <c r="J112">
        <v>0</v>
      </c>
      <c r="K112">
        <v>0</v>
      </c>
      <c r="L112">
        <v>14635.427899999999</v>
      </c>
      <c r="M112">
        <v>51.794119999999999</v>
      </c>
      <c r="N112">
        <v>14687.222019999999</v>
      </c>
      <c r="O112">
        <v>12646748.96992</v>
      </c>
      <c r="P112">
        <v>7724.1740199999995</v>
      </c>
      <c r="Q112">
        <v>12654473.14394</v>
      </c>
      <c r="R112" s="13">
        <v>0</v>
      </c>
      <c r="S112" s="13">
        <v>0</v>
      </c>
      <c r="T112" s="13">
        <v>0</v>
      </c>
      <c r="U112" s="13">
        <v>0</v>
      </c>
    </row>
    <row r="113" spans="1:21" ht="14.4" x14ac:dyDescent="0.3">
      <c r="A113" s="21">
        <v>76</v>
      </c>
      <c r="B113" s="13">
        <v>1365</v>
      </c>
      <c r="C113" s="12"/>
      <c r="D113" s="12"/>
      <c r="E113" s="12"/>
      <c r="F113" s="12" t="s">
        <v>30</v>
      </c>
      <c r="G113" s="12" t="s">
        <v>30</v>
      </c>
      <c r="H113" s="13">
        <v>0</v>
      </c>
      <c r="I113">
        <v>0</v>
      </c>
      <c r="J113">
        <v>0</v>
      </c>
      <c r="K113">
        <v>0</v>
      </c>
      <c r="L113">
        <v>24429.857399999997</v>
      </c>
      <c r="M113">
        <v>24.591439999999999</v>
      </c>
      <c r="N113">
        <v>24454.448840000001</v>
      </c>
      <c r="O113">
        <v>12543568.244379999</v>
      </c>
      <c r="P113">
        <v>12142.394040000001</v>
      </c>
      <c r="Q113">
        <v>12555710.638419999</v>
      </c>
      <c r="R113" s="13">
        <v>0</v>
      </c>
      <c r="S113" s="13">
        <v>0</v>
      </c>
      <c r="T113" s="13">
        <v>0</v>
      </c>
      <c r="U113" s="13">
        <v>0</v>
      </c>
    </row>
    <row r="114" spans="1:21" ht="14.4" x14ac:dyDescent="0.3">
      <c r="A114" s="21">
        <v>77</v>
      </c>
      <c r="B114" s="13">
        <v>1366</v>
      </c>
      <c r="C114" s="12"/>
      <c r="D114" s="12"/>
      <c r="E114" s="12"/>
      <c r="F114" s="12" t="s">
        <v>30</v>
      </c>
      <c r="G114" s="12" t="s">
        <v>30</v>
      </c>
      <c r="H114" s="13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10295914.876979999</v>
      </c>
      <c r="P114">
        <v>8021.9</v>
      </c>
      <c r="Q114">
        <v>10303936.77698</v>
      </c>
      <c r="R114" s="13">
        <v>0</v>
      </c>
      <c r="S114" s="13">
        <v>0</v>
      </c>
      <c r="T114" s="13">
        <v>0</v>
      </c>
      <c r="U114" s="13">
        <v>0</v>
      </c>
    </row>
    <row r="115" spans="1:21" ht="14.4" x14ac:dyDescent="0.3">
      <c r="A115" s="21">
        <v>78</v>
      </c>
      <c r="B115" s="13">
        <v>1369</v>
      </c>
      <c r="C115" s="12"/>
      <c r="D115" s="12"/>
      <c r="E115" s="12"/>
      <c r="F115" s="12" t="s">
        <v>30</v>
      </c>
      <c r="G115" s="12" t="s">
        <v>30</v>
      </c>
      <c r="H115" s="13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10547372.57284</v>
      </c>
      <c r="P115">
        <v>7716.0124399999995</v>
      </c>
      <c r="Q115">
        <v>10555088.585279999</v>
      </c>
      <c r="R115" s="13">
        <v>0</v>
      </c>
      <c r="S115" s="13">
        <v>0</v>
      </c>
      <c r="T115" s="13">
        <v>0</v>
      </c>
      <c r="U115" s="13">
        <v>0</v>
      </c>
    </row>
    <row r="116" spans="1:21" ht="14.4" x14ac:dyDescent="0.3">
      <c r="A116" s="21">
        <v>79</v>
      </c>
      <c r="B116" s="13">
        <v>1370</v>
      </c>
      <c r="C116" s="12"/>
      <c r="D116" s="12"/>
      <c r="E116" s="12"/>
      <c r="F116" s="12" t="s">
        <v>30</v>
      </c>
      <c r="G116" s="12" t="s">
        <v>30</v>
      </c>
      <c r="H116" s="13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13384796.21448</v>
      </c>
      <c r="P116">
        <v>7596.07</v>
      </c>
      <c r="Q116">
        <v>13392392.284479998</v>
      </c>
      <c r="R116" s="13">
        <v>0</v>
      </c>
      <c r="S116" s="13">
        <v>0</v>
      </c>
      <c r="T116" s="13">
        <v>0</v>
      </c>
      <c r="U116" s="13">
        <v>0</v>
      </c>
    </row>
    <row r="117" spans="1:21" ht="14.4" x14ac:dyDescent="0.3">
      <c r="A117" s="21">
        <v>80</v>
      </c>
      <c r="B117" s="13">
        <v>1371</v>
      </c>
      <c r="C117" s="12"/>
      <c r="D117" s="12"/>
      <c r="E117" s="12"/>
      <c r="F117" s="12" t="s">
        <v>30</v>
      </c>
      <c r="G117" s="12" t="s">
        <v>30</v>
      </c>
      <c r="H117" s="13">
        <v>0</v>
      </c>
      <c r="I117">
        <v>0</v>
      </c>
      <c r="J117">
        <v>0</v>
      </c>
      <c r="K117">
        <v>0</v>
      </c>
      <c r="L117">
        <v>14193.554099999999</v>
      </c>
      <c r="M117">
        <v>7.9404199999999996</v>
      </c>
      <c r="N117">
        <v>14201.49452</v>
      </c>
      <c r="O117">
        <v>11331419.011899998</v>
      </c>
      <c r="P117">
        <v>10929.26548</v>
      </c>
      <c r="Q117">
        <v>11342348.277379999</v>
      </c>
      <c r="R117" s="13">
        <v>0</v>
      </c>
      <c r="S117" s="13">
        <v>0</v>
      </c>
      <c r="T117" s="13">
        <v>0</v>
      </c>
      <c r="U117" s="13">
        <v>0</v>
      </c>
    </row>
    <row r="118" spans="1:21" ht="9" customHeight="1" x14ac:dyDescent="0.25">
      <c r="A118"/>
      <c r="B118" s="13">
        <v>23</v>
      </c>
      <c r="C118" s="12"/>
      <c r="D118" s="12"/>
      <c r="E118" s="12"/>
      <c r="F118" s="12"/>
      <c r="G118" s="12"/>
      <c r="H118" s="13"/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3"/>
      <c r="S118" s="13"/>
      <c r="T118" s="13"/>
      <c r="U118" s="13"/>
    </row>
    <row r="119" spans="1:21" ht="14.4" x14ac:dyDescent="0.3">
      <c r="A119" s="21">
        <v>81</v>
      </c>
      <c r="B119" s="13">
        <v>1379</v>
      </c>
      <c r="C119" s="12"/>
      <c r="D119" s="12"/>
      <c r="E119" s="12">
        <v>3.0999999046325701</v>
      </c>
      <c r="F119" s="12" t="s">
        <v>30</v>
      </c>
      <c r="G119" s="12">
        <v>-18.3</v>
      </c>
      <c r="H119" s="13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9589056.8591600005</v>
      </c>
      <c r="P119">
        <v>7866.5060000000003</v>
      </c>
      <c r="Q119">
        <v>9596923.3651599996</v>
      </c>
      <c r="R119" s="13">
        <v>0</v>
      </c>
      <c r="S119" s="13">
        <v>0</v>
      </c>
      <c r="T119" s="13">
        <v>0</v>
      </c>
      <c r="U119" s="13">
        <v>0</v>
      </c>
    </row>
    <row r="120" spans="1:21" ht="14.4" x14ac:dyDescent="0.3">
      <c r="A120" s="21">
        <v>82</v>
      </c>
      <c r="B120" s="13">
        <v>1381</v>
      </c>
      <c r="C120" s="12"/>
      <c r="D120" s="12"/>
      <c r="E120" s="12">
        <v>3.0999999046325701</v>
      </c>
      <c r="F120" s="12" t="s">
        <v>30</v>
      </c>
      <c r="G120" s="12">
        <v>-18.3</v>
      </c>
      <c r="H120" s="13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11312296.7326</v>
      </c>
      <c r="P120">
        <v>8159.8340000000007</v>
      </c>
      <c r="Q120">
        <v>11320456.566599999</v>
      </c>
      <c r="R120" s="13">
        <v>0</v>
      </c>
      <c r="S120" s="13">
        <v>0</v>
      </c>
      <c r="T120" s="13">
        <v>0</v>
      </c>
      <c r="U120" s="13">
        <v>0</v>
      </c>
    </row>
    <row r="121" spans="1:21" ht="9" customHeight="1" x14ac:dyDescent="0.25">
      <c r="A121"/>
      <c r="B121" s="13">
        <v>23</v>
      </c>
      <c r="C121" s="12"/>
      <c r="D121" s="12"/>
      <c r="E121" s="12"/>
      <c r="F121" s="12"/>
      <c r="G121" s="12"/>
      <c r="H121" s="13"/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3"/>
      <c r="S121" s="13"/>
      <c r="T121" s="13"/>
      <c r="U121" s="13"/>
    </row>
    <row r="122" spans="1:21" ht="14.4" x14ac:dyDescent="0.3">
      <c r="A122" s="21">
        <v>83</v>
      </c>
      <c r="B122" s="13">
        <v>1485</v>
      </c>
      <c r="C122" s="12"/>
      <c r="D122" s="12"/>
      <c r="E122" s="12">
        <v>3.2999999523162802</v>
      </c>
      <c r="F122" s="12" t="s">
        <v>30</v>
      </c>
      <c r="G122" s="12">
        <v>-9.6</v>
      </c>
      <c r="H122" s="13">
        <v>0</v>
      </c>
      <c r="I122">
        <v>0</v>
      </c>
      <c r="J122">
        <v>0</v>
      </c>
      <c r="K122">
        <v>0</v>
      </c>
      <c r="L122">
        <v>5803.3295800000005</v>
      </c>
      <c r="M122">
        <v>0</v>
      </c>
      <c r="N122">
        <v>5803.3295800000005</v>
      </c>
      <c r="O122">
        <v>5572974.32338</v>
      </c>
      <c r="P122">
        <v>1129.1731199999999</v>
      </c>
      <c r="Q122">
        <v>5574103.4965000004</v>
      </c>
      <c r="R122" s="13">
        <v>0</v>
      </c>
      <c r="S122" s="13">
        <v>0</v>
      </c>
      <c r="T122" s="13">
        <v>0</v>
      </c>
      <c r="U122" s="13">
        <v>0</v>
      </c>
    </row>
    <row r="123" spans="1:21" ht="14.4" x14ac:dyDescent="0.3">
      <c r="A123" s="21">
        <v>84</v>
      </c>
      <c r="B123" s="13">
        <v>1489</v>
      </c>
      <c r="C123" s="12"/>
      <c r="D123" s="12"/>
      <c r="E123" s="12">
        <v>3.2999999523162802</v>
      </c>
      <c r="F123" s="12" t="s">
        <v>30</v>
      </c>
      <c r="G123" s="12">
        <v>-9.6</v>
      </c>
      <c r="H123" s="13">
        <v>0</v>
      </c>
      <c r="I123">
        <v>0</v>
      </c>
      <c r="J123">
        <v>89.614419999999996</v>
      </c>
      <c r="K123">
        <v>89.614419999999996</v>
      </c>
      <c r="L123">
        <v>0</v>
      </c>
      <c r="M123">
        <v>89.614419999999996</v>
      </c>
      <c r="N123">
        <v>89.614419999999996</v>
      </c>
      <c r="O123">
        <v>8480400.8648799993</v>
      </c>
      <c r="P123">
        <v>2178.99442</v>
      </c>
      <c r="Q123">
        <v>8482579.8592999987</v>
      </c>
      <c r="R123" s="13">
        <v>0</v>
      </c>
      <c r="S123" s="13">
        <v>0</v>
      </c>
      <c r="T123" s="13">
        <v>0</v>
      </c>
      <c r="U123" s="13">
        <v>0</v>
      </c>
    </row>
    <row r="124" spans="1:21" x14ac:dyDescent="0.25">
      <c r="A124" t="s">
        <v>31</v>
      </c>
      <c r="B124" s="13">
        <v>23</v>
      </c>
      <c r="C124" s="12"/>
      <c r="D124" s="12"/>
      <c r="E124" s="12"/>
      <c r="F124" s="12"/>
      <c r="G124" s="12"/>
      <c r="H124" s="13"/>
      <c r="I124" s="11"/>
      <c r="J124" s="11"/>
      <c r="K124" s="11"/>
      <c r="L124" s="11"/>
      <c r="M124" s="11"/>
      <c r="N124" s="11"/>
      <c r="O124" s="11"/>
      <c r="P124" s="11"/>
      <c r="Q124" s="11"/>
      <c r="R124" s="13"/>
      <c r="S124" s="13"/>
      <c r="T124" s="13"/>
      <c r="U124" s="13"/>
    </row>
    <row r="125" spans="1:21" x14ac:dyDescent="0.25">
      <c r="A125" t="s">
        <v>32</v>
      </c>
      <c r="B125" s="13">
        <v>23</v>
      </c>
      <c r="C125" s="12"/>
      <c r="D125" s="12"/>
      <c r="E125" s="12"/>
      <c r="F125" s="12"/>
      <c r="G125" s="12"/>
      <c r="H125" s="13"/>
      <c r="I125" s="11"/>
      <c r="J125" s="11"/>
      <c r="K125" s="11"/>
      <c r="L125" s="11"/>
      <c r="M125" s="11"/>
      <c r="N125" s="11"/>
      <c r="O125" s="11"/>
      <c r="P125" s="11"/>
      <c r="Q125" s="11"/>
      <c r="R125" s="13"/>
      <c r="S125" s="13"/>
      <c r="T125" s="13"/>
      <c r="U125" s="13"/>
    </row>
    <row r="126" spans="1:21" ht="14.4" x14ac:dyDescent="0.3">
      <c r="A126" s="21">
        <v>85</v>
      </c>
      <c r="B126" s="13">
        <v>1367</v>
      </c>
      <c r="C126" s="12"/>
      <c r="D126" s="12"/>
      <c r="E126" s="12"/>
      <c r="F126" s="12"/>
      <c r="G126" s="12"/>
      <c r="H126" s="13"/>
      <c r="I126" s="11"/>
      <c r="J126" s="11"/>
      <c r="K126" s="11"/>
      <c r="L126" s="11">
        <v>0</v>
      </c>
      <c r="M126" s="11">
        <v>0</v>
      </c>
      <c r="N126" s="11">
        <v>0</v>
      </c>
      <c r="O126">
        <v>6266345.7754799994</v>
      </c>
      <c r="P126">
        <v>3730.038</v>
      </c>
      <c r="Q126">
        <v>6270075.81348</v>
      </c>
      <c r="R126" s="13"/>
      <c r="S126" s="13"/>
      <c r="T126" s="13"/>
      <c r="U126" s="13"/>
    </row>
    <row r="127" spans="1:21" ht="14.4" x14ac:dyDescent="0.3">
      <c r="A127" s="21">
        <v>86</v>
      </c>
      <c r="B127" s="13">
        <v>1368</v>
      </c>
      <c r="C127" s="12"/>
      <c r="D127" s="12"/>
      <c r="E127" s="12"/>
      <c r="F127" s="12"/>
      <c r="G127" s="12"/>
      <c r="H127" s="13"/>
      <c r="I127" s="11"/>
      <c r="J127" s="11"/>
      <c r="K127" s="11"/>
      <c r="L127" s="11">
        <v>0</v>
      </c>
      <c r="M127" s="11">
        <v>0</v>
      </c>
      <c r="N127" s="11">
        <v>0</v>
      </c>
      <c r="O127">
        <v>5934771.0751200002</v>
      </c>
      <c r="P127">
        <v>4310.5829999999996</v>
      </c>
      <c r="Q127">
        <v>5939081.6581199998</v>
      </c>
      <c r="R127" s="13"/>
      <c r="S127" s="13"/>
      <c r="T127" s="13"/>
      <c r="U127" s="13"/>
    </row>
    <row r="128" spans="1:21" ht="14.4" x14ac:dyDescent="0.3">
      <c r="A128" s="21">
        <v>87</v>
      </c>
      <c r="B128" s="13">
        <v>1376</v>
      </c>
      <c r="C128" s="12"/>
      <c r="D128" s="12"/>
      <c r="E128" s="12"/>
      <c r="F128" s="12"/>
      <c r="G128" s="12"/>
      <c r="H128" s="13"/>
      <c r="I128" s="11"/>
      <c r="J128" s="11"/>
      <c r="K128" s="11"/>
      <c r="L128" s="11"/>
      <c r="M128" s="11"/>
      <c r="N128" s="11"/>
      <c r="O128">
        <v>2994392.7528599999</v>
      </c>
      <c r="P128">
        <v>3927.0450000000001</v>
      </c>
      <c r="Q128">
        <v>2998319.7978599998</v>
      </c>
      <c r="R128" s="13"/>
      <c r="S128" s="13"/>
      <c r="T128" s="13"/>
      <c r="U128" s="13"/>
    </row>
    <row r="129" spans="1:21" ht="14.4" x14ac:dyDescent="0.3">
      <c r="A129" s="21">
        <v>88</v>
      </c>
      <c r="B129" s="13">
        <v>1377</v>
      </c>
      <c r="C129" s="12"/>
      <c r="D129" s="12"/>
      <c r="E129" s="12"/>
      <c r="F129" s="12"/>
      <c r="G129" s="12"/>
      <c r="H129" s="13"/>
      <c r="I129" s="11"/>
      <c r="J129" s="11"/>
      <c r="K129" s="11"/>
      <c r="L129" s="11"/>
      <c r="M129" s="11"/>
      <c r="N129" s="11"/>
      <c r="O129">
        <v>2819075.8054900002</v>
      </c>
      <c r="P129">
        <v>5869.9549999999999</v>
      </c>
      <c r="Q129">
        <v>2824945.7604900002</v>
      </c>
      <c r="R129" s="13"/>
      <c r="S129" s="13"/>
      <c r="T129" s="13"/>
      <c r="U129" s="13"/>
    </row>
    <row r="130" spans="1:21" ht="14.4" x14ac:dyDescent="0.3">
      <c r="A130" s="21">
        <v>89</v>
      </c>
      <c r="B130" s="13">
        <v>1378</v>
      </c>
      <c r="C130" s="12"/>
      <c r="D130" s="12"/>
      <c r="E130" s="12"/>
      <c r="F130" s="12"/>
      <c r="G130" s="12"/>
      <c r="H130" s="13"/>
      <c r="I130" s="11"/>
      <c r="J130" s="11"/>
      <c r="K130" s="11"/>
      <c r="L130" s="11"/>
      <c r="M130" s="11"/>
      <c r="N130" s="11"/>
      <c r="O130">
        <v>5685073.0892399997</v>
      </c>
      <c r="P130">
        <v>2670.1189999999997</v>
      </c>
      <c r="Q130">
        <v>5687743.2082400005</v>
      </c>
      <c r="R130" s="13"/>
      <c r="S130" s="13"/>
      <c r="T130" s="13"/>
      <c r="U130" s="13"/>
    </row>
    <row r="131" spans="1:21" ht="14.4" x14ac:dyDescent="0.3">
      <c r="A131" s="21">
        <v>90</v>
      </c>
      <c r="B131" s="13">
        <v>1398</v>
      </c>
      <c r="C131" s="12"/>
      <c r="D131" s="12"/>
      <c r="E131" s="12"/>
      <c r="F131" s="12"/>
      <c r="G131" s="12"/>
      <c r="H131" s="13"/>
      <c r="I131" s="11"/>
      <c r="J131" s="11"/>
      <c r="K131" s="11"/>
      <c r="L131" s="11"/>
      <c r="M131" s="11"/>
      <c r="N131" s="11"/>
      <c r="O131">
        <v>4674537.2024600003</v>
      </c>
      <c r="P131">
        <v>3226.317</v>
      </c>
      <c r="Q131">
        <v>4677763.5194600001</v>
      </c>
      <c r="R131" s="13"/>
      <c r="S131" s="13"/>
      <c r="T131" s="13"/>
      <c r="U131" s="13"/>
    </row>
    <row r="132" spans="1:21" ht="14.4" x14ac:dyDescent="0.3">
      <c r="A132" s="21">
        <v>91</v>
      </c>
      <c r="B132" s="13">
        <v>1408</v>
      </c>
      <c r="C132" s="12"/>
      <c r="D132" s="12"/>
      <c r="E132" s="12"/>
      <c r="F132" s="12"/>
      <c r="G132" s="12"/>
      <c r="H132" s="13"/>
      <c r="I132" s="11"/>
      <c r="J132" s="11"/>
      <c r="K132" s="11"/>
      <c r="L132" s="11"/>
      <c r="M132" s="11"/>
      <c r="N132" s="11"/>
      <c r="O132">
        <v>2843644.1061400003</v>
      </c>
      <c r="P132">
        <v>4166.5379999999996</v>
      </c>
      <c r="Q132">
        <v>2847810.64414</v>
      </c>
      <c r="R132" s="13"/>
      <c r="S132" s="13"/>
      <c r="T132" s="13"/>
      <c r="U132" s="13"/>
    </row>
    <row r="133" spans="1:21" ht="14.4" x14ac:dyDescent="0.3">
      <c r="A133" s="21">
        <v>92</v>
      </c>
      <c r="B133" s="13">
        <v>1409</v>
      </c>
      <c r="C133" s="12"/>
      <c r="D133" s="12"/>
      <c r="E133" s="12"/>
      <c r="F133" s="12"/>
      <c r="G133" s="12"/>
      <c r="H133" s="13"/>
      <c r="I133" s="11"/>
      <c r="J133" s="11"/>
      <c r="K133" s="11"/>
      <c r="L133" s="11"/>
      <c r="M133" s="11"/>
      <c r="N133" s="11"/>
      <c r="O133">
        <v>4290493.3125399994</v>
      </c>
      <c r="P133">
        <v>4264.47793</v>
      </c>
      <c r="Q133">
        <v>4294757.7904699994</v>
      </c>
      <c r="R133" s="13"/>
      <c r="S133" s="13"/>
      <c r="T133" s="13"/>
      <c r="U133" s="13"/>
    </row>
    <row r="134" spans="1:21" ht="14.4" x14ac:dyDescent="0.3">
      <c r="A134" s="21">
        <v>93</v>
      </c>
      <c r="B134" s="13">
        <v>1410</v>
      </c>
      <c r="C134" s="12"/>
      <c r="D134" s="12"/>
      <c r="E134" s="12"/>
      <c r="F134" s="12"/>
      <c r="G134" s="12"/>
      <c r="H134" s="13"/>
      <c r="I134" s="11"/>
      <c r="J134" s="11"/>
      <c r="K134" s="11"/>
      <c r="L134" s="11"/>
      <c r="M134" s="11"/>
      <c r="N134" s="11"/>
      <c r="O134">
        <v>2598954.7763700001</v>
      </c>
      <c r="P134">
        <v>3427.4949999999999</v>
      </c>
      <c r="Q134">
        <v>2602382.2713699997</v>
      </c>
      <c r="R134" s="13"/>
      <c r="S134" s="13"/>
      <c r="T134" s="13"/>
      <c r="U134" s="13"/>
    </row>
    <row r="135" spans="1:21" ht="14.4" x14ac:dyDescent="0.3">
      <c r="A135" s="21">
        <v>94</v>
      </c>
      <c r="B135" s="13">
        <v>1415</v>
      </c>
      <c r="C135" s="12"/>
      <c r="D135" s="12"/>
      <c r="E135" s="12"/>
      <c r="F135" s="12"/>
      <c r="G135" s="12"/>
      <c r="H135" s="13"/>
      <c r="I135" s="11"/>
      <c r="J135" s="11"/>
      <c r="K135" s="11"/>
      <c r="L135" s="11"/>
      <c r="M135" s="11"/>
      <c r="N135" s="11"/>
      <c r="O135">
        <v>4839690.9602799993</v>
      </c>
      <c r="P135">
        <v>2257.7719999999999</v>
      </c>
      <c r="Q135">
        <v>4841948.7322800001</v>
      </c>
      <c r="R135" s="13"/>
      <c r="S135" s="13"/>
      <c r="T135" s="13"/>
      <c r="U135" s="13"/>
    </row>
    <row r="136" spans="1:21" ht="14.4" x14ac:dyDescent="0.3">
      <c r="A136" s="21">
        <v>95</v>
      </c>
      <c r="B136" s="13">
        <v>1419</v>
      </c>
      <c r="C136" s="12"/>
      <c r="D136" s="12"/>
      <c r="E136" s="12"/>
      <c r="F136" s="12"/>
      <c r="G136" s="12"/>
      <c r="H136" s="13"/>
      <c r="I136" s="11"/>
      <c r="J136" s="11"/>
      <c r="K136" s="11"/>
      <c r="L136" s="11"/>
      <c r="M136" s="11"/>
      <c r="N136" s="11"/>
      <c r="O136">
        <v>2696160.9779999997</v>
      </c>
      <c r="P136">
        <v>7368.3139999999994</v>
      </c>
      <c r="Q136">
        <v>2703529.2919999999</v>
      </c>
      <c r="R136" s="13"/>
      <c r="S136" s="13"/>
      <c r="T136" s="13"/>
      <c r="U136" s="13"/>
    </row>
    <row r="137" spans="1:21" ht="14.4" x14ac:dyDescent="0.3">
      <c r="A137" s="21">
        <v>96</v>
      </c>
      <c r="B137" s="13">
        <v>1448</v>
      </c>
      <c r="C137" s="12"/>
      <c r="D137" s="12"/>
      <c r="E137" s="12"/>
      <c r="F137" s="12"/>
      <c r="G137" s="12"/>
      <c r="H137" s="13"/>
      <c r="I137" s="11"/>
      <c r="J137" s="11"/>
      <c r="K137" s="11"/>
      <c r="L137" s="11"/>
      <c r="M137" s="11"/>
      <c r="N137" s="11"/>
      <c r="O137">
        <v>4145459.5323700001</v>
      </c>
      <c r="P137">
        <v>3676.8819999999996</v>
      </c>
      <c r="Q137">
        <v>4149136.4143699999</v>
      </c>
      <c r="R137" s="13"/>
      <c r="S137" s="13"/>
      <c r="T137" s="13"/>
      <c r="U137" s="13"/>
    </row>
    <row r="138" spans="1:21" ht="14.4" x14ac:dyDescent="0.3">
      <c r="A138" s="21">
        <v>97</v>
      </c>
      <c r="B138" s="13">
        <v>1457</v>
      </c>
      <c r="C138" s="12"/>
      <c r="D138" s="12"/>
      <c r="E138" s="12"/>
      <c r="F138" s="12"/>
      <c r="G138" s="12"/>
      <c r="H138" s="13"/>
      <c r="I138" s="11"/>
      <c r="J138" s="11"/>
      <c r="K138" s="11"/>
      <c r="L138" s="11">
        <v>0</v>
      </c>
      <c r="M138" s="11">
        <v>0</v>
      </c>
      <c r="N138" s="11">
        <v>0</v>
      </c>
      <c r="O138">
        <v>3326727.11454</v>
      </c>
      <c r="P138">
        <v>3901.3060500000001</v>
      </c>
      <c r="Q138">
        <v>3330628.4205899998</v>
      </c>
      <c r="R138" s="13"/>
      <c r="S138" s="13"/>
      <c r="T138" s="13"/>
      <c r="U138" s="13"/>
    </row>
    <row r="139" spans="1:21" ht="14.4" x14ac:dyDescent="0.3">
      <c r="A139" s="21">
        <v>98</v>
      </c>
      <c r="B139" s="13">
        <v>1464</v>
      </c>
      <c r="C139" s="12"/>
      <c r="D139" s="12"/>
      <c r="E139" s="12"/>
      <c r="F139" s="12"/>
      <c r="G139" s="12"/>
      <c r="H139" s="13"/>
      <c r="I139" s="11"/>
      <c r="J139" s="11"/>
      <c r="K139" s="11"/>
      <c r="L139" s="11"/>
      <c r="M139" s="11"/>
      <c r="N139" s="11"/>
      <c r="O139">
        <v>3863640.3699399997</v>
      </c>
      <c r="P139">
        <v>2256.2199999999998</v>
      </c>
      <c r="Q139">
        <v>3865896.5899399999</v>
      </c>
      <c r="R139" s="13"/>
      <c r="S139" s="13"/>
      <c r="T139" s="13"/>
      <c r="U139" s="13"/>
    </row>
    <row r="140" spans="1:21" ht="14.4" x14ac:dyDescent="0.3">
      <c r="A140" s="21">
        <v>99</v>
      </c>
      <c r="B140" s="13">
        <v>1465</v>
      </c>
      <c r="C140" s="12"/>
      <c r="D140" s="12"/>
      <c r="E140" s="12"/>
      <c r="F140" s="12"/>
      <c r="G140" s="12"/>
      <c r="H140" s="13"/>
      <c r="I140" s="11"/>
      <c r="J140" s="11"/>
      <c r="K140" s="11"/>
      <c r="L140" s="11"/>
      <c r="M140" s="11"/>
      <c r="N140" s="11"/>
      <c r="O140">
        <v>3072203.4</v>
      </c>
      <c r="P140">
        <v>2354.19</v>
      </c>
      <c r="Q140">
        <v>3074557.59</v>
      </c>
      <c r="R140" s="13"/>
      <c r="S140" s="13"/>
      <c r="T140" s="13"/>
      <c r="U140" s="13"/>
    </row>
    <row r="141" spans="1:21" ht="14.4" x14ac:dyDescent="0.3">
      <c r="A141" s="21">
        <v>100</v>
      </c>
      <c r="B141" s="13">
        <v>1466</v>
      </c>
      <c r="C141" s="12"/>
      <c r="D141" s="12"/>
      <c r="E141" s="12"/>
      <c r="F141" s="12"/>
      <c r="G141" s="12"/>
      <c r="H141" s="13"/>
      <c r="I141" s="11"/>
      <c r="J141" s="11"/>
      <c r="K141" s="11"/>
      <c r="L141" s="11"/>
      <c r="M141" s="11"/>
      <c r="N141" s="11"/>
      <c r="O141">
        <v>2800165.5914699999</v>
      </c>
      <c r="P141">
        <v>2360.98</v>
      </c>
      <c r="Q141">
        <v>2802526.5714699998</v>
      </c>
      <c r="R141" s="13"/>
      <c r="S141" s="13"/>
      <c r="T141" s="13"/>
      <c r="U141" s="13"/>
    </row>
    <row r="142" spans="1:21" ht="14.4" x14ac:dyDescent="0.3">
      <c r="A142" s="21">
        <v>101</v>
      </c>
      <c r="B142" s="13">
        <v>1468</v>
      </c>
      <c r="C142" s="12"/>
      <c r="D142" s="12"/>
      <c r="E142" s="12"/>
      <c r="F142" s="12"/>
      <c r="G142" s="12"/>
      <c r="H142" s="13"/>
      <c r="I142" s="11"/>
      <c r="J142" s="11"/>
      <c r="K142" s="11"/>
      <c r="L142" s="11"/>
      <c r="M142" s="11"/>
      <c r="N142" s="11"/>
      <c r="O142">
        <v>2491117.14</v>
      </c>
      <c r="P142">
        <v>3608.4</v>
      </c>
      <c r="Q142">
        <v>2494725.54</v>
      </c>
      <c r="R142" s="13"/>
      <c r="S142" s="13"/>
      <c r="T142" s="13"/>
      <c r="U142" s="13"/>
    </row>
    <row r="143" spans="1:21" ht="14.4" x14ac:dyDescent="0.3">
      <c r="A143" s="21">
        <v>102</v>
      </c>
      <c r="B143" s="13">
        <v>1469</v>
      </c>
      <c r="C143" s="12"/>
      <c r="D143" s="12"/>
      <c r="E143" s="12"/>
      <c r="F143" s="12"/>
      <c r="G143" s="12"/>
      <c r="H143" s="13"/>
      <c r="I143" s="11"/>
      <c r="J143" s="11"/>
      <c r="K143" s="11"/>
      <c r="L143" s="11">
        <v>0</v>
      </c>
      <c r="M143" s="11">
        <v>0</v>
      </c>
      <c r="N143" s="11">
        <v>0</v>
      </c>
      <c r="O143">
        <v>4772410.8455699999</v>
      </c>
      <c r="P143">
        <v>5976.2669999999998</v>
      </c>
      <c r="Q143">
        <v>4778387.1125699999</v>
      </c>
      <c r="R143" s="13"/>
      <c r="S143" s="13"/>
      <c r="T143" s="13"/>
      <c r="U143" s="13"/>
    </row>
    <row r="144" spans="1:21" ht="14.4" x14ac:dyDescent="0.3">
      <c r="A144" s="21">
        <v>103</v>
      </c>
      <c r="B144" s="13">
        <v>1497</v>
      </c>
      <c r="C144" s="12"/>
      <c r="D144" s="12"/>
      <c r="E144" s="12"/>
      <c r="F144" s="12"/>
      <c r="G144" s="12"/>
      <c r="H144" s="13"/>
      <c r="I144" s="11"/>
      <c r="J144" s="11"/>
      <c r="K144" s="11"/>
      <c r="L144" s="11"/>
      <c r="M144" s="11"/>
      <c r="N144" s="11"/>
      <c r="O144">
        <v>0</v>
      </c>
      <c r="P144">
        <v>549.99</v>
      </c>
      <c r="Q144">
        <v>549.99</v>
      </c>
      <c r="R144" s="13"/>
      <c r="S144" s="13"/>
      <c r="T144" s="13"/>
      <c r="U144" s="13"/>
    </row>
    <row r="145" spans="1:21" ht="14.4" x14ac:dyDescent="0.3">
      <c r="A145" s="21">
        <v>104</v>
      </c>
      <c r="B145" s="13">
        <v>1504</v>
      </c>
      <c r="C145" s="12"/>
      <c r="D145" s="12"/>
      <c r="E145" s="12"/>
      <c r="F145" s="12"/>
      <c r="G145" s="12"/>
      <c r="H145" s="13"/>
      <c r="I145" s="11"/>
      <c r="J145" s="11"/>
      <c r="K145" s="11"/>
      <c r="L145" s="11"/>
      <c r="M145" s="11"/>
      <c r="N145" s="11"/>
      <c r="O145">
        <v>0</v>
      </c>
      <c r="P145">
        <v>405.46</v>
      </c>
      <c r="Q145">
        <v>405.46</v>
      </c>
      <c r="R145" s="13"/>
      <c r="S145" s="13"/>
      <c r="T145" s="13"/>
      <c r="U145" s="13"/>
    </row>
    <row r="146" spans="1:21" ht="14.4" x14ac:dyDescent="0.3">
      <c r="A146" s="21">
        <v>105</v>
      </c>
      <c r="B146" s="13">
        <v>1505</v>
      </c>
      <c r="C146" s="12"/>
      <c r="D146" s="12"/>
      <c r="E146" s="12"/>
      <c r="F146" s="12"/>
      <c r="G146" s="12"/>
      <c r="H146" s="13"/>
      <c r="I146" s="11"/>
      <c r="J146" s="11"/>
      <c r="K146" s="11"/>
      <c r="L146" s="11"/>
      <c r="M146" s="11"/>
      <c r="N146" s="11"/>
      <c r="O146">
        <v>0</v>
      </c>
      <c r="P146">
        <v>727.5</v>
      </c>
      <c r="Q146">
        <v>727.5</v>
      </c>
      <c r="R146" s="13"/>
      <c r="S146" s="13"/>
      <c r="T146" s="13"/>
      <c r="U146" s="13"/>
    </row>
    <row r="147" spans="1:21" ht="14.4" x14ac:dyDescent="0.3">
      <c r="A147" s="21">
        <v>106</v>
      </c>
      <c r="B147" s="13">
        <v>1506</v>
      </c>
      <c r="C147" s="12"/>
      <c r="D147" s="12"/>
      <c r="E147" s="12"/>
      <c r="F147" s="12"/>
      <c r="G147" s="12"/>
      <c r="H147" s="13"/>
      <c r="I147" s="11"/>
      <c r="J147" s="11"/>
      <c r="K147" s="11"/>
      <c r="L147" s="11"/>
      <c r="M147" s="11"/>
      <c r="N147" s="11"/>
      <c r="O147">
        <v>0</v>
      </c>
      <c r="P147">
        <v>583.93999999999994</v>
      </c>
      <c r="Q147">
        <v>583.93999999999994</v>
      </c>
      <c r="R147" s="13"/>
      <c r="S147" s="13"/>
      <c r="T147" s="13"/>
      <c r="U147" s="13"/>
    </row>
    <row r="148" spans="1:21" ht="14.4" x14ac:dyDescent="0.3">
      <c r="A148" s="21">
        <v>107</v>
      </c>
      <c r="B148" s="13">
        <v>1507</v>
      </c>
      <c r="C148" s="12"/>
      <c r="D148" s="12"/>
      <c r="E148" s="12"/>
      <c r="F148" s="12"/>
      <c r="G148" s="12"/>
      <c r="H148" s="13"/>
      <c r="I148" s="11"/>
      <c r="J148" s="11"/>
      <c r="K148" s="11"/>
      <c r="L148" s="11"/>
      <c r="M148" s="11"/>
      <c r="N148" s="11"/>
      <c r="O148">
        <v>0</v>
      </c>
      <c r="P148">
        <v>441.34999999999997</v>
      </c>
      <c r="Q148">
        <v>441.34999999999997</v>
      </c>
      <c r="R148" s="13"/>
      <c r="S148" s="13"/>
      <c r="T148" s="13"/>
      <c r="U148" s="13"/>
    </row>
    <row r="149" spans="1:21" ht="14.4" x14ac:dyDescent="0.3">
      <c r="A149" s="21">
        <v>108</v>
      </c>
      <c r="B149" s="13">
        <v>1524</v>
      </c>
      <c r="C149" s="12"/>
      <c r="D149" s="12"/>
      <c r="E149" s="12"/>
      <c r="F149" s="12"/>
      <c r="G149" s="12"/>
      <c r="H149" s="13"/>
      <c r="I149" s="11"/>
      <c r="J149" s="11"/>
      <c r="K149" s="11"/>
      <c r="L149" s="11"/>
      <c r="M149" s="11"/>
      <c r="N149" s="11"/>
      <c r="O149">
        <v>80689.747789999994</v>
      </c>
      <c r="P149">
        <v>1003.9499999999999</v>
      </c>
      <c r="Q149">
        <v>81693.697790000006</v>
      </c>
      <c r="R149" s="13"/>
      <c r="S149" s="13"/>
      <c r="T149" s="13"/>
      <c r="U149" s="13"/>
    </row>
    <row r="150" spans="1:21" ht="14.4" x14ac:dyDescent="0.3">
      <c r="A150" s="21">
        <v>109</v>
      </c>
      <c r="B150" s="13">
        <v>1525</v>
      </c>
      <c r="C150" s="12"/>
      <c r="D150" s="12"/>
      <c r="E150" s="12"/>
      <c r="F150" s="12"/>
      <c r="G150" s="12"/>
      <c r="H150" s="13"/>
      <c r="I150" s="11"/>
      <c r="J150" s="11"/>
      <c r="K150" s="11"/>
      <c r="L150" s="11"/>
      <c r="M150" s="11"/>
      <c r="N150" s="11"/>
      <c r="O150">
        <v>275929.94614000001</v>
      </c>
      <c r="P150">
        <v>888.03499999999997</v>
      </c>
      <c r="Q150">
        <v>276817.98113999999</v>
      </c>
      <c r="R150" s="13"/>
      <c r="S150" s="13"/>
      <c r="T150" s="13"/>
      <c r="U150" s="13"/>
    </row>
    <row r="151" spans="1:21" ht="14.4" x14ac:dyDescent="0.3">
      <c r="A151" s="21">
        <v>110</v>
      </c>
      <c r="B151" s="13">
        <v>2483</v>
      </c>
      <c r="C151" s="12"/>
      <c r="D151" s="12"/>
      <c r="E151" s="12"/>
      <c r="F151" s="12"/>
      <c r="G151" s="12"/>
      <c r="H151" s="13"/>
      <c r="I151" s="11"/>
      <c r="J151" s="11"/>
      <c r="K151" s="11"/>
      <c r="L151" s="11"/>
      <c r="M151" s="11"/>
      <c r="N151" s="11"/>
      <c r="O151">
        <v>4747316.7699999996</v>
      </c>
      <c r="P151">
        <v>2043.79</v>
      </c>
      <c r="Q151">
        <v>4749360.5599999996</v>
      </c>
      <c r="R151" s="13"/>
      <c r="S151" s="13"/>
      <c r="T151" s="13"/>
      <c r="U151" s="13"/>
    </row>
    <row r="152" spans="1:21" ht="14.4" x14ac:dyDescent="0.3">
      <c r="A152" s="21">
        <v>111</v>
      </c>
      <c r="B152" s="13">
        <v>2484</v>
      </c>
      <c r="C152" s="12"/>
      <c r="D152" s="12"/>
      <c r="E152" s="12"/>
      <c r="F152" s="12"/>
      <c r="G152" s="12"/>
      <c r="H152" s="13"/>
      <c r="I152" s="11"/>
      <c r="J152" s="11"/>
      <c r="K152" s="11"/>
      <c r="L152" s="11"/>
      <c r="M152" s="11"/>
      <c r="N152" s="11"/>
      <c r="O152">
        <v>4301350.54</v>
      </c>
      <c r="P152">
        <v>3849.93</v>
      </c>
      <c r="Q152">
        <v>4305200.47</v>
      </c>
      <c r="R152" s="13"/>
      <c r="S152" s="13"/>
      <c r="T152" s="13"/>
      <c r="U152" s="13"/>
    </row>
    <row r="153" spans="1:21" ht="14.4" x14ac:dyDescent="0.3">
      <c r="A153" s="21">
        <v>112</v>
      </c>
      <c r="B153" s="13">
        <v>2486</v>
      </c>
      <c r="C153" s="12"/>
      <c r="D153" s="12"/>
      <c r="E153" s="12"/>
      <c r="F153" s="12"/>
      <c r="G153" s="12"/>
      <c r="H153" s="13"/>
      <c r="I153" s="11"/>
      <c r="J153" s="11"/>
      <c r="K153" s="11"/>
      <c r="L153" s="11"/>
      <c r="M153" s="11"/>
      <c r="N153" s="11"/>
      <c r="O153">
        <v>4564865.59</v>
      </c>
      <c r="P153">
        <v>2411.42</v>
      </c>
      <c r="Q153">
        <v>4567277.01</v>
      </c>
      <c r="R153" s="13"/>
      <c r="S153" s="13"/>
      <c r="T153" s="13"/>
      <c r="U153" s="13"/>
    </row>
    <row r="154" spans="1:21" ht="14.4" x14ac:dyDescent="0.3">
      <c r="A154" s="21">
        <v>113</v>
      </c>
      <c r="B154" s="13">
        <v>2487</v>
      </c>
      <c r="C154" s="12"/>
      <c r="D154" s="12"/>
      <c r="E154" s="12"/>
      <c r="F154" s="12"/>
      <c r="G154" s="12"/>
      <c r="H154" s="13"/>
      <c r="I154" s="11"/>
      <c r="J154" s="11"/>
      <c r="K154" s="11"/>
      <c r="L154" s="11"/>
      <c r="M154" s="11"/>
      <c r="N154" s="11"/>
      <c r="O154">
        <v>3960290.78</v>
      </c>
      <c r="P154">
        <v>2005.96</v>
      </c>
      <c r="Q154">
        <v>3962296.7399999998</v>
      </c>
      <c r="R154" s="13"/>
      <c r="S154" s="13"/>
      <c r="T154" s="13"/>
      <c r="U154" s="13"/>
    </row>
    <row r="155" spans="1:21" ht="14.4" x14ac:dyDescent="0.3">
      <c r="A155" s="21">
        <v>114</v>
      </c>
      <c r="B155" s="13">
        <v>2488</v>
      </c>
      <c r="C155" s="12"/>
      <c r="D155" s="12"/>
      <c r="E155" s="12"/>
      <c r="F155" s="12"/>
      <c r="G155" s="12"/>
      <c r="H155" s="13"/>
      <c r="I155" s="11"/>
      <c r="J155" s="11"/>
      <c r="K155" s="11"/>
      <c r="L155" s="11"/>
      <c r="M155" s="11"/>
      <c r="N155" s="11"/>
      <c r="O155">
        <v>4498177.12</v>
      </c>
      <c r="P155">
        <v>3509.46</v>
      </c>
      <c r="Q155">
        <v>4501686.58</v>
      </c>
      <c r="R155" s="13"/>
      <c r="S155" s="13"/>
      <c r="T155" s="13"/>
      <c r="U155" s="13"/>
    </row>
    <row r="156" spans="1:21" ht="14.4" x14ac:dyDescent="0.3">
      <c r="A156" s="21">
        <v>115</v>
      </c>
      <c r="B156" s="13">
        <v>2489</v>
      </c>
      <c r="C156" s="12"/>
      <c r="D156" s="12"/>
      <c r="E156" s="12"/>
      <c r="F156" s="12"/>
      <c r="G156" s="12"/>
      <c r="H156" s="13"/>
      <c r="I156" s="11"/>
      <c r="J156" s="11"/>
      <c r="K156" s="11"/>
      <c r="L156" s="11"/>
      <c r="M156" s="11"/>
      <c r="N156" s="11"/>
      <c r="O156">
        <v>4827704.55</v>
      </c>
      <c r="P156">
        <v>4509.53</v>
      </c>
      <c r="Q156">
        <v>4832214.08</v>
      </c>
      <c r="R156" s="13"/>
      <c r="S156" s="13"/>
      <c r="T156" s="13"/>
      <c r="U156" s="13"/>
    </row>
    <row r="157" spans="1:21" ht="14.4" x14ac:dyDescent="0.3">
      <c r="A157" s="21">
        <v>116</v>
      </c>
      <c r="B157" s="13">
        <v>2490</v>
      </c>
      <c r="C157" s="12"/>
      <c r="D157" s="12"/>
      <c r="E157" s="12"/>
      <c r="F157" s="12"/>
      <c r="G157" s="12"/>
      <c r="H157" s="13"/>
      <c r="I157" s="11"/>
      <c r="J157" s="11"/>
      <c r="K157" s="11"/>
      <c r="L157" s="11"/>
      <c r="M157" s="11"/>
      <c r="N157" s="11"/>
      <c r="O157">
        <v>4949335.76</v>
      </c>
      <c r="P157">
        <v>1791.59</v>
      </c>
      <c r="Q157">
        <v>4951127.3499999996</v>
      </c>
      <c r="R157" s="13"/>
      <c r="S157" s="13"/>
      <c r="T157" s="13"/>
      <c r="U157" s="13"/>
    </row>
    <row r="158" spans="1:21" ht="14.4" x14ac:dyDescent="0.3">
      <c r="A158" s="21">
        <v>117</v>
      </c>
      <c r="B158" s="13">
        <v>2491</v>
      </c>
      <c r="C158" s="12"/>
      <c r="D158" s="12"/>
      <c r="E158" s="12"/>
      <c r="F158" s="12"/>
      <c r="G158" s="12"/>
      <c r="H158" s="13"/>
      <c r="I158" s="11"/>
      <c r="J158" s="11"/>
      <c r="K158" s="11"/>
      <c r="L158" s="11"/>
      <c r="M158" s="11"/>
      <c r="N158" s="11"/>
      <c r="O158">
        <v>4607354.5</v>
      </c>
      <c r="P158">
        <v>2301.81</v>
      </c>
      <c r="Q158">
        <v>4609656.3099999996</v>
      </c>
      <c r="R158" s="13"/>
      <c r="S158" s="13"/>
      <c r="T158" s="13"/>
      <c r="U158" s="13"/>
    </row>
    <row r="159" spans="1:21" x14ac:dyDescent="0.25">
      <c r="A159"/>
      <c r="B159" s="30"/>
      <c r="C159" s="12"/>
      <c r="D159" s="12"/>
      <c r="E159" s="12"/>
      <c r="F159" s="12"/>
      <c r="G159" s="12"/>
      <c r="H159" s="13"/>
      <c r="I159" s="11"/>
      <c r="J159" s="11"/>
      <c r="K159" s="11"/>
      <c r="L159" s="11"/>
      <c r="M159" s="11"/>
      <c r="N159" s="11"/>
      <c r="O159" s="11"/>
      <c r="P159" s="11"/>
      <c r="Q159" s="11"/>
      <c r="R159" s="13"/>
      <c r="S159" s="13"/>
      <c r="T159" s="13"/>
      <c r="U159" s="13"/>
    </row>
    <row r="160" spans="1:21" x14ac:dyDescent="0.25">
      <c r="A160"/>
      <c r="B160" s="30"/>
      <c r="C160" s="12"/>
      <c r="D160" s="12"/>
      <c r="E160" s="12"/>
      <c r="F160" s="12"/>
      <c r="G160" s="12"/>
      <c r="H160" s="13"/>
      <c r="I160"/>
      <c r="J160"/>
      <c r="K160"/>
      <c r="L160"/>
      <c r="M160"/>
      <c r="N160"/>
      <c r="O160"/>
      <c r="P160"/>
      <c r="Q160"/>
      <c r="R160" s="13"/>
      <c r="S160" s="13"/>
      <c r="T160" s="13"/>
      <c r="U160" s="13"/>
    </row>
    <row r="161" spans="1:21" x14ac:dyDescent="0.25">
      <c r="A161"/>
      <c r="B161" s="30"/>
      <c r="C161" s="12"/>
      <c r="D161" s="12"/>
      <c r="E161" s="12"/>
      <c r="F161" s="12"/>
      <c r="G161" s="12"/>
      <c r="H161" s="13"/>
      <c r="I161"/>
      <c r="J161"/>
      <c r="K161"/>
      <c r="L161"/>
      <c r="M161"/>
      <c r="N161"/>
      <c r="O161"/>
      <c r="P161"/>
      <c r="Q161"/>
      <c r="R161" s="13"/>
      <c r="S161" s="13"/>
      <c r="T161" s="13"/>
      <c r="U161" s="13"/>
    </row>
    <row r="162" spans="1:21" x14ac:dyDescent="0.25">
      <c r="A162"/>
      <c r="B162" s="30"/>
      <c r="C162" s="12"/>
      <c r="D162" s="12"/>
      <c r="E162" s="12"/>
      <c r="F162" s="12"/>
      <c r="G162" s="12"/>
      <c r="H162" s="13"/>
      <c r="I162"/>
      <c r="J162"/>
      <c r="K162"/>
      <c r="L162"/>
      <c r="M162"/>
      <c r="N162"/>
      <c r="O162"/>
      <c r="P162"/>
      <c r="Q162"/>
      <c r="R162" s="13"/>
      <c r="S162" s="13"/>
      <c r="T162" s="13"/>
      <c r="U162" s="13"/>
    </row>
    <row r="163" spans="1:21" x14ac:dyDescent="0.25">
      <c r="A163"/>
      <c r="B163" s="30"/>
      <c r="C163" s="12"/>
      <c r="D163" s="12"/>
      <c r="E163" s="12"/>
      <c r="F163" s="12"/>
      <c r="G163" s="12"/>
      <c r="H163" s="13"/>
      <c r="I163" s="11"/>
      <c r="J163" s="11"/>
      <c r="K163" s="11"/>
      <c r="L163" s="11"/>
      <c r="M163" s="11"/>
      <c r="N163" s="11"/>
      <c r="O163" s="11"/>
      <c r="P163" s="11"/>
      <c r="Q163" s="11"/>
      <c r="R163" s="13"/>
      <c r="S163" s="13"/>
      <c r="T163" s="13"/>
      <c r="U163" s="13"/>
    </row>
    <row r="164" spans="1:21" x14ac:dyDescent="0.25">
      <c r="A164"/>
      <c r="B164" s="30"/>
      <c r="C164" s="12"/>
      <c r="D164" s="12"/>
      <c r="E164" s="12"/>
      <c r="F164" s="12"/>
      <c r="G164" s="12"/>
      <c r="H164" s="13"/>
      <c r="I164" s="11"/>
      <c r="J164" s="11"/>
      <c r="K164" s="11"/>
      <c r="L164" s="11"/>
      <c r="M164" s="11"/>
      <c r="N164" s="11"/>
      <c r="O164" s="11"/>
      <c r="P164" s="11"/>
      <c r="Q164" s="11"/>
      <c r="R164" s="13"/>
      <c r="S164" s="13"/>
      <c r="T164" s="13"/>
      <c r="U164" s="13"/>
    </row>
    <row r="165" spans="1:21" x14ac:dyDescent="0.25">
      <c r="A165"/>
      <c r="B165" s="30"/>
      <c r="C165" s="12"/>
      <c r="D165" s="12"/>
      <c r="E165" s="12"/>
      <c r="F165" s="12"/>
      <c r="G165" s="12"/>
      <c r="H165" s="13"/>
      <c r="I165" s="11"/>
      <c r="J165" s="11"/>
      <c r="K165" s="11"/>
      <c r="L165" s="11"/>
      <c r="M165" s="11"/>
      <c r="N165" s="11"/>
      <c r="O165" s="11"/>
      <c r="P165" s="11"/>
      <c r="Q165" s="11"/>
      <c r="R165" s="13"/>
      <c r="S165" s="13"/>
      <c r="T165" s="13"/>
      <c r="U165" s="13"/>
    </row>
    <row r="166" spans="1:21" x14ac:dyDescent="0.25">
      <c r="A166"/>
      <c r="B166" s="30"/>
      <c r="C166" s="12"/>
      <c r="D166" s="12"/>
      <c r="E166" s="12"/>
      <c r="F166" s="12"/>
      <c r="G166" s="12"/>
      <c r="H166" s="13"/>
      <c r="I166" s="11"/>
      <c r="J166" s="11"/>
      <c r="K166" s="11"/>
      <c r="L166" s="11"/>
      <c r="M166" s="11"/>
      <c r="N166" s="11"/>
      <c r="O166" s="11"/>
      <c r="P166" s="11"/>
      <c r="Q166" s="11"/>
      <c r="R166" s="13"/>
      <c r="S166" s="13"/>
      <c r="T166" s="13"/>
      <c r="U166" s="13"/>
    </row>
    <row r="167" spans="1:21" x14ac:dyDescent="0.25">
      <c r="A167"/>
      <c r="B167" s="30"/>
      <c r="C167" s="12"/>
      <c r="D167" s="12"/>
      <c r="E167" s="12"/>
      <c r="F167" s="12"/>
      <c r="G167" s="12"/>
      <c r="H167" s="13"/>
      <c r="I167" s="11"/>
      <c r="J167" s="11"/>
      <c r="K167" s="11"/>
      <c r="L167" s="11"/>
      <c r="M167" s="11"/>
      <c r="N167" s="11"/>
      <c r="O167" s="11"/>
      <c r="P167" s="11"/>
      <c r="Q167" s="11"/>
      <c r="R167" s="13"/>
      <c r="S167" s="13"/>
      <c r="T167" s="13"/>
      <c r="U167" s="13"/>
    </row>
    <row r="168" spans="1:21" x14ac:dyDescent="0.25">
      <c r="A168"/>
      <c r="B168" s="30"/>
      <c r="C168" s="12"/>
      <c r="D168" s="12"/>
      <c r="E168" s="12"/>
      <c r="F168" s="12"/>
      <c r="G168" s="12"/>
      <c r="H168" s="13"/>
      <c r="I168" s="11"/>
      <c r="J168" s="11"/>
      <c r="K168" s="11"/>
      <c r="L168" s="11"/>
      <c r="M168" s="11"/>
      <c r="N168" s="11"/>
      <c r="O168" s="11"/>
      <c r="P168" s="11"/>
      <c r="Q168" s="11"/>
      <c r="R168" s="13"/>
      <c r="S168" s="13"/>
      <c r="T168" s="13"/>
      <c r="U168" s="13"/>
    </row>
    <row r="169" spans="1:21" x14ac:dyDescent="0.25">
      <c r="A169"/>
      <c r="B169" s="30"/>
      <c r="C169" s="12"/>
      <c r="D169" s="12"/>
      <c r="E169" s="12"/>
      <c r="F169" s="12"/>
      <c r="G169" s="12"/>
      <c r="H169" s="13"/>
      <c r="I169" s="11"/>
      <c r="J169" s="11"/>
      <c r="K169" s="11"/>
      <c r="L169" s="11"/>
      <c r="M169" s="11"/>
      <c r="N169" s="11"/>
      <c r="O169" s="11"/>
      <c r="P169" s="11"/>
      <c r="Q169" s="11"/>
      <c r="R169" s="13"/>
      <c r="S169" s="13"/>
      <c r="T169" s="13"/>
      <c r="U169" s="13"/>
    </row>
    <row r="170" spans="1:21" x14ac:dyDescent="0.25">
      <c r="A170"/>
      <c r="B170" s="30"/>
      <c r="C170" s="12"/>
      <c r="D170" s="12"/>
      <c r="E170" s="12"/>
      <c r="F170" s="12"/>
      <c r="G170" s="12"/>
      <c r="H170" s="13"/>
      <c r="I170" s="11"/>
      <c r="J170" s="11"/>
      <c r="K170" s="11"/>
      <c r="L170" s="11"/>
      <c r="M170" s="11"/>
      <c r="N170" s="11"/>
      <c r="O170" s="11"/>
      <c r="P170" s="11"/>
      <c r="Q170" s="11"/>
      <c r="R170" s="13"/>
      <c r="S170" s="13"/>
      <c r="T170" s="13"/>
      <c r="U170" s="13"/>
    </row>
    <row r="171" spans="1:21" x14ac:dyDescent="0.25">
      <c r="A171"/>
      <c r="B171" s="30"/>
      <c r="C171" s="12"/>
      <c r="D171" s="12"/>
      <c r="E171" s="12"/>
      <c r="F171" s="12"/>
      <c r="G171" s="12"/>
      <c r="H171" s="13"/>
      <c r="I171" s="11"/>
      <c r="J171" s="11"/>
      <c r="K171" s="11"/>
      <c r="L171" s="11"/>
      <c r="M171" s="11"/>
      <c r="N171" s="11"/>
      <c r="O171" s="11"/>
      <c r="P171" s="11"/>
      <c r="Q171" s="11"/>
      <c r="R171" s="13"/>
      <c r="S171" s="13"/>
      <c r="T171" s="13"/>
      <c r="U171" s="13"/>
    </row>
    <row r="172" spans="1:21" x14ac:dyDescent="0.25">
      <c r="A172"/>
      <c r="B172" s="30"/>
      <c r="C172" s="12"/>
      <c r="D172" s="12"/>
      <c r="E172" s="12"/>
      <c r="F172" s="12"/>
      <c r="G172" s="12"/>
      <c r="H172" s="13"/>
      <c r="I172" s="11"/>
      <c r="J172" s="11"/>
      <c r="K172" s="11"/>
      <c r="L172" s="11"/>
      <c r="M172" s="11"/>
      <c r="N172" s="11"/>
      <c r="O172" s="11"/>
      <c r="P172" s="11"/>
      <c r="Q172" s="11"/>
      <c r="R172" s="13"/>
      <c r="S172" s="13"/>
      <c r="T172" s="13"/>
      <c r="U172" s="13"/>
    </row>
    <row r="173" spans="1:21" x14ac:dyDescent="0.25">
      <c r="A173"/>
      <c r="B173" s="30"/>
      <c r="C173" s="12"/>
      <c r="D173" s="12"/>
      <c r="E173" s="12"/>
      <c r="F173" s="12"/>
      <c r="G173" s="12"/>
      <c r="H173" s="13"/>
      <c r="I173" s="11"/>
      <c r="J173" s="11"/>
      <c r="K173" s="11"/>
      <c r="L173" s="11"/>
      <c r="M173" s="11"/>
      <c r="N173" s="11"/>
      <c r="O173" s="11"/>
      <c r="P173" s="11"/>
      <c r="Q173" s="11"/>
      <c r="R173" s="13"/>
      <c r="S173" s="13"/>
      <c r="T173" s="13"/>
      <c r="U173" s="13"/>
    </row>
    <row r="174" spans="1:21" x14ac:dyDescent="0.25">
      <c r="A174"/>
      <c r="B174" s="30"/>
      <c r="C174" s="12"/>
      <c r="D174" s="12"/>
      <c r="E174" s="12"/>
      <c r="F174" s="12"/>
      <c r="G174" s="12"/>
      <c r="H174" s="13"/>
      <c r="I174" s="11"/>
      <c r="J174" s="11"/>
      <c r="K174" s="11"/>
      <c r="L174" s="11"/>
      <c r="M174" s="11"/>
      <c r="N174" s="11"/>
      <c r="O174" s="11"/>
      <c r="P174" s="11"/>
      <c r="Q174" s="11"/>
      <c r="R174" s="13"/>
      <c r="S174" s="13"/>
      <c r="T174" s="13"/>
      <c r="U174" s="13"/>
    </row>
    <row r="175" spans="1:21" x14ac:dyDescent="0.25">
      <c r="A175"/>
      <c r="B175" s="30"/>
      <c r="C175" s="12"/>
      <c r="D175" s="12"/>
      <c r="E175" s="12"/>
      <c r="F175" s="12"/>
      <c r="G175" s="12"/>
      <c r="H175" s="13"/>
      <c r="I175" s="11"/>
      <c r="J175" s="11"/>
      <c r="K175" s="11"/>
      <c r="L175" s="11"/>
      <c r="M175" s="11"/>
      <c r="N175" s="11"/>
      <c r="O175" s="11"/>
      <c r="P175" s="11"/>
      <c r="Q175" s="11"/>
      <c r="R175" s="13"/>
      <c r="S175" s="13"/>
      <c r="T175" s="13"/>
      <c r="U175" s="13"/>
    </row>
    <row r="176" spans="1:21" x14ac:dyDescent="0.25">
      <c r="A176"/>
      <c r="B176" s="30"/>
      <c r="C176" s="12"/>
      <c r="D176" s="12"/>
      <c r="E176" s="12"/>
      <c r="F176" s="12"/>
      <c r="G176" s="12"/>
      <c r="H176" s="13"/>
      <c r="I176" s="11"/>
      <c r="J176" s="11"/>
      <c r="K176" s="11"/>
      <c r="L176" s="11"/>
      <c r="M176" s="11"/>
      <c r="N176" s="11"/>
      <c r="O176" s="11"/>
      <c r="P176" s="11"/>
      <c r="Q176" s="11"/>
      <c r="R176" s="13"/>
      <c r="S176" s="13"/>
      <c r="T176" s="13"/>
      <c r="U176" s="13"/>
    </row>
    <row r="177" spans="1:21" x14ac:dyDescent="0.25">
      <c r="A177"/>
      <c r="B177" s="30"/>
      <c r="C177" s="12"/>
      <c r="D177" s="12"/>
      <c r="E177" s="12"/>
      <c r="F177" s="12"/>
      <c r="G177" s="12"/>
      <c r="H177" s="13"/>
      <c r="I177" s="11"/>
      <c r="J177" s="11"/>
      <c r="K177" s="11"/>
      <c r="L177" s="11"/>
      <c r="M177" s="11"/>
      <c r="N177" s="11"/>
      <c r="O177" s="11"/>
      <c r="P177" s="11"/>
      <c r="Q177" s="11"/>
      <c r="R177" s="13"/>
      <c r="S177" s="13"/>
      <c r="T177" s="13"/>
      <c r="U177" s="13"/>
    </row>
    <row r="178" spans="1:21" x14ac:dyDescent="0.25">
      <c r="A178"/>
      <c r="B178" s="30"/>
      <c r="C178" s="12"/>
      <c r="D178" s="12"/>
      <c r="E178" s="12"/>
      <c r="F178" s="12"/>
      <c r="G178" s="12"/>
      <c r="H178" s="13"/>
      <c r="I178" s="11"/>
      <c r="J178" s="11"/>
      <c r="K178" s="11"/>
      <c r="L178" s="11"/>
      <c r="M178" s="11"/>
      <c r="N178" s="11"/>
      <c r="O178" s="11"/>
      <c r="P178" s="11"/>
      <c r="Q178" s="11"/>
      <c r="R178" s="13"/>
      <c r="S178" s="13"/>
      <c r="T178" s="13"/>
      <c r="U178" s="13"/>
    </row>
    <row r="179" spans="1:21" x14ac:dyDescent="0.25">
      <c r="A179"/>
      <c r="B179" s="30"/>
      <c r="C179" s="12"/>
      <c r="D179" s="12"/>
      <c r="E179" s="12"/>
      <c r="F179" s="12"/>
      <c r="G179" s="12"/>
      <c r="H179" s="13"/>
      <c r="I179" s="11"/>
      <c r="J179" s="11"/>
      <c r="K179" s="11"/>
      <c r="L179" s="11"/>
      <c r="M179" s="11"/>
      <c r="N179" s="11"/>
      <c r="O179" s="11"/>
      <c r="P179" s="11"/>
      <c r="Q179" s="11"/>
      <c r="R179" s="13"/>
      <c r="S179" s="13"/>
      <c r="T179" s="13"/>
      <c r="U179" s="13"/>
    </row>
    <row r="180" spans="1:21" x14ac:dyDescent="0.25">
      <c r="A180"/>
      <c r="B180" s="30"/>
      <c r="C180" s="12"/>
      <c r="D180" s="12"/>
      <c r="E180" s="12"/>
      <c r="F180" s="12"/>
      <c r="G180" s="12"/>
      <c r="H180" s="13"/>
      <c r="I180" s="11"/>
      <c r="J180" s="11"/>
      <c r="K180" s="11"/>
      <c r="L180" s="11"/>
      <c r="M180" s="11"/>
      <c r="N180" s="11"/>
      <c r="O180" s="11"/>
      <c r="P180" s="11"/>
      <c r="Q180" s="11"/>
      <c r="R180" s="13"/>
      <c r="S180" s="13"/>
      <c r="T180" s="13"/>
      <c r="U180" s="13"/>
    </row>
    <row r="181" spans="1:21" x14ac:dyDescent="0.25">
      <c r="A181"/>
      <c r="B181" s="30"/>
      <c r="C181" s="12"/>
      <c r="D181" s="12"/>
      <c r="E181" s="12"/>
      <c r="F181" s="12"/>
      <c r="G181" s="12"/>
      <c r="H181" s="13"/>
      <c r="I181" s="11"/>
      <c r="J181" s="11"/>
      <c r="K181" s="11"/>
      <c r="L181" s="11"/>
      <c r="M181" s="11"/>
      <c r="N181" s="11"/>
      <c r="O181" s="11"/>
      <c r="P181" s="11"/>
      <c r="Q181" s="11"/>
      <c r="R181" s="13"/>
      <c r="S181" s="13"/>
      <c r="T181" s="13"/>
      <c r="U181" s="13"/>
    </row>
    <row r="182" spans="1:21" x14ac:dyDescent="0.25">
      <c r="A182"/>
      <c r="B182" s="30"/>
      <c r="C182" s="12"/>
      <c r="D182" s="12"/>
      <c r="E182" s="12"/>
      <c r="F182" s="12"/>
      <c r="G182" s="12"/>
      <c r="H182" s="13"/>
      <c r="I182" s="11"/>
      <c r="J182" s="11"/>
      <c r="K182" s="11"/>
      <c r="L182" s="11"/>
      <c r="M182" s="11"/>
      <c r="N182" s="11"/>
      <c r="O182" s="11"/>
      <c r="P182" s="11"/>
      <c r="Q182" s="11"/>
      <c r="R182" s="13"/>
      <c r="S182" s="13"/>
      <c r="T182" s="13"/>
      <c r="U182" s="13"/>
    </row>
    <row r="183" spans="1:21" x14ac:dyDescent="0.25">
      <c r="A183"/>
      <c r="B183" s="30"/>
      <c r="C183" s="12"/>
      <c r="D183" s="12"/>
      <c r="E183" s="12"/>
      <c r="F183" s="12"/>
      <c r="G183" s="12"/>
      <c r="H183" s="13"/>
      <c r="I183" s="11"/>
      <c r="J183" s="11"/>
      <c r="K183" s="11"/>
      <c r="L183" s="11"/>
      <c r="M183" s="11"/>
      <c r="N183" s="11"/>
      <c r="O183" s="11"/>
      <c r="P183" s="11"/>
      <c r="Q183" s="11"/>
      <c r="R183" s="13"/>
      <c r="S183" s="13"/>
      <c r="T183" s="13"/>
      <c r="U183" s="13"/>
    </row>
    <row r="184" spans="1:21" x14ac:dyDescent="0.25">
      <c r="A184"/>
      <c r="B184" s="30"/>
      <c r="C184" s="12"/>
      <c r="D184" s="12"/>
      <c r="E184" s="12"/>
      <c r="F184" s="12"/>
      <c r="G184" s="12"/>
      <c r="H184" s="13"/>
      <c r="I184" s="11"/>
      <c r="J184" s="11"/>
      <c r="K184" s="11"/>
      <c r="L184" s="11"/>
      <c r="M184" s="11"/>
      <c r="N184" s="11"/>
      <c r="O184" s="11"/>
      <c r="P184" s="11"/>
      <c r="Q184" s="11"/>
      <c r="R184" s="13"/>
      <c r="S184" s="13"/>
      <c r="T184" s="13"/>
      <c r="U184" s="13"/>
    </row>
    <row r="185" spans="1:21" x14ac:dyDescent="0.25">
      <c r="A185"/>
      <c r="B185" s="30"/>
      <c r="C185" s="12"/>
      <c r="D185" s="12"/>
      <c r="E185" s="12"/>
      <c r="F185" s="12"/>
      <c r="G185" s="12"/>
      <c r="H185" s="13"/>
      <c r="I185" s="11"/>
      <c r="J185" s="11"/>
      <c r="K185" s="11"/>
      <c r="L185" s="11"/>
      <c r="M185" s="11"/>
      <c r="N185" s="11"/>
      <c r="O185" s="11"/>
      <c r="P185" s="11"/>
      <c r="Q185" s="11"/>
      <c r="R185" s="13"/>
      <c r="S185" s="13"/>
      <c r="T185" s="13"/>
      <c r="U185" s="13"/>
    </row>
    <row r="186" spans="1:21" x14ac:dyDescent="0.25">
      <c r="A186"/>
      <c r="B186" s="30"/>
      <c r="C186" s="12"/>
      <c r="D186" s="12"/>
      <c r="E186" s="12"/>
      <c r="F186" s="12"/>
      <c r="G186" s="12"/>
      <c r="H186" s="13"/>
      <c r="I186" s="11"/>
      <c r="J186" s="11"/>
      <c r="K186" s="11"/>
      <c r="L186" s="11"/>
      <c r="M186" s="11"/>
      <c r="N186" s="11"/>
      <c r="O186" s="11"/>
      <c r="P186" s="11"/>
      <c r="Q186" s="11"/>
      <c r="R186" s="13"/>
      <c r="S186" s="13"/>
      <c r="T186" s="13"/>
      <c r="U186" s="13"/>
    </row>
    <row r="187" spans="1:21" x14ac:dyDescent="0.25">
      <c r="A187"/>
      <c r="B187" s="30"/>
      <c r="C187" s="12"/>
      <c r="D187" s="12"/>
      <c r="E187" s="12"/>
      <c r="F187" s="12"/>
      <c r="G187" s="12"/>
      <c r="H187" s="13"/>
      <c r="I187" s="11"/>
      <c r="J187" s="11"/>
      <c r="K187" s="11"/>
      <c r="L187" s="11"/>
      <c r="M187" s="11"/>
      <c r="N187" s="11"/>
      <c r="O187" s="11"/>
      <c r="P187" s="11"/>
      <c r="Q187" s="11"/>
      <c r="R187" s="13"/>
      <c r="S187" s="13"/>
      <c r="T187" s="13"/>
      <c r="U187" s="13"/>
    </row>
    <row r="188" spans="1:21" x14ac:dyDescent="0.25">
      <c r="A188"/>
      <c r="B188" s="30"/>
      <c r="C188" s="12"/>
      <c r="D188" s="12"/>
      <c r="E188" s="12"/>
      <c r="F188" s="12"/>
      <c r="G188" s="12"/>
      <c r="H188" s="13"/>
      <c r="I188" s="11"/>
      <c r="J188" s="11"/>
      <c r="K188" s="11"/>
      <c r="L188" s="11"/>
      <c r="M188" s="11"/>
      <c r="N188" s="11"/>
      <c r="O188" s="11"/>
      <c r="P188" s="11"/>
      <c r="Q188" s="11"/>
      <c r="R188" s="13"/>
      <c r="S188" s="13"/>
      <c r="T188" s="13"/>
      <c r="U188" s="13"/>
    </row>
    <row r="189" spans="1:21" x14ac:dyDescent="0.25">
      <c r="A189"/>
      <c r="B189" s="30"/>
      <c r="C189" s="12"/>
      <c r="D189" s="12"/>
      <c r="E189" s="12"/>
      <c r="F189" s="12"/>
      <c r="G189" s="12"/>
      <c r="H189" s="13"/>
      <c r="I189" s="11"/>
      <c r="J189" s="11"/>
      <c r="K189" s="11"/>
      <c r="L189" s="11"/>
      <c r="M189" s="11"/>
      <c r="N189" s="11"/>
      <c r="O189" s="11"/>
      <c r="P189" s="11"/>
      <c r="Q189" s="11"/>
      <c r="R189" s="13"/>
      <c r="S189" s="13"/>
      <c r="T189" s="13"/>
      <c r="U189" s="13"/>
    </row>
    <row r="190" spans="1:21" x14ac:dyDescent="0.25">
      <c r="A190"/>
      <c r="B190" s="30"/>
      <c r="C190" s="12"/>
      <c r="D190" s="12"/>
      <c r="E190" s="12"/>
      <c r="F190" s="12"/>
      <c r="G190" s="12"/>
      <c r="H190" s="13"/>
      <c r="I190" s="11"/>
      <c r="J190" s="11"/>
      <c r="K190" s="11"/>
      <c r="L190" s="11"/>
      <c r="M190" s="11"/>
      <c r="N190" s="11"/>
      <c r="O190" s="11"/>
      <c r="P190" s="11"/>
      <c r="Q190" s="11"/>
      <c r="R190" s="13"/>
      <c r="S190" s="13"/>
      <c r="T190" s="13"/>
      <c r="U190" s="13"/>
    </row>
    <row r="191" spans="1:21" x14ac:dyDescent="0.25">
      <c r="A191"/>
      <c r="B191" s="30"/>
      <c r="C191" s="12"/>
      <c r="D191" s="12"/>
      <c r="E191" s="12"/>
      <c r="F191" s="12"/>
      <c r="G191" s="12"/>
      <c r="H191" s="13"/>
      <c r="I191" s="11"/>
      <c r="J191" s="11"/>
      <c r="K191" s="11"/>
      <c r="L191" s="11"/>
      <c r="M191" s="11"/>
      <c r="N191" s="11"/>
      <c r="O191" s="11"/>
      <c r="P191" s="11"/>
      <c r="Q191" s="11"/>
      <c r="R191" s="13"/>
      <c r="S191" s="13"/>
      <c r="T191" s="13"/>
      <c r="U191" s="13"/>
    </row>
    <row r="192" spans="1:21" x14ac:dyDescent="0.25">
      <c r="A192"/>
      <c r="B192" s="30"/>
      <c r="C192" s="12"/>
      <c r="D192" s="12"/>
      <c r="E192" s="12"/>
      <c r="F192" s="12"/>
      <c r="G192" s="12"/>
      <c r="H192" s="13"/>
      <c r="I192" s="11"/>
      <c r="J192" s="11"/>
      <c r="K192" s="11"/>
      <c r="L192" s="11"/>
      <c r="M192" s="11"/>
      <c r="N192" s="11"/>
      <c r="O192" s="11"/>
      <c r="P192" s="11"/>
      <c r="Q192" s="11"/>
      <c r="R192" s="13"/>
      <c r="S192" s="13"/>
      <c r="T192" s="13"/>
      <c r="U192" s="13"/>
    </row>
    <row r="193" spans="1:21" x14ac:dyDescent="0.25">
      <c r="A193"/>
      <c r="B193" s="30"/>
      <c r="C193" s="12"/>
      <c r="D193" s="12"/>
      <c r="E193" s="12"/>
      <c r="F193" s="12"/>
      <c r="G193" s="12"/>
      <c r="H193" s="13"/>
      <c r="I193" s="11"/>
      <c r="J193" s="11"/>
      <c r="K193" s="11"/>
      <c r="L193" s="11"/>
      <c r="M193" s="11"/>
      <c r="N193" s="11"/>
      <c r="O193" s="11"/>
      <c r="P193" s="11"/>
      <c r="Q193" s="11"/>
      <c r="R193" s="13"/>
      <c r="S193" s="13"/>
      <c r="T193" s="13"/>
      <c r="U193" s="13"/>
    </row>
    <row r="194" spans="1:21" x14ac:dyDescent="0.25">
      <c r="A194"/>
      <c r="B194" s="30"/>
      <c r="C194" s="12"/>
      <c r="D194" s="12"/>
      <c r="E194" s="12"/>
      <c r="F194" s="12"/>
      <c r="G194" s="12"/>
      <c r="H194" s="13"/>
      <c r="I194" s="11"/>
      <c r="J194" s="11"/>
      <c r="K194" s="11"/>
      <c r="L194" s="11"/>
      <c r="M194" s="11"/>
      <c r="N194" s="11"/>
      <c r="O194" s="11"/>
      <c r="P194" s="11"/>
      <c r="Q194" s="11"/>
      <c r="R194" s="13"/>
      <c r="S194" s="13"/>
      <c r="T194" s="13"/>
      <c r="U194" s="13"/>
    </row>
    <row r="195" spans="1:21" x14ac:dyDescent="0.25">
      <c r="A195"/>
      <c r="B195" s="30"/>
      <c r="C195" s="12"/>
      <c r="D195" s="12"/>
      <c r="E195" s="12"/>
      <c r="F195" s="12"/>
      <c r="G195" s="12"/>
      <c r="H195" s="13"/>
      <c r="I195" s="11"/>
      <c r="J195" s="11"/>
      <c r="K195" s="11"/>
      <c r="L195" s="11"/>
      <c r="M195" s="11"/>
      <c r="N195" s="11"/>
      <c r="O195" s="11"/>
      <c r="P195" s="11"/>
      <c r="Q195" s="11"/>
      <c r="R195" s="13"/>
      <c r="S195" s="13"/>
      <c r="T195" s="13"/>
      <c r="U195" s="13"/>
    </row>
    <row r="196" spans="1:21" x14ac:dyDescent="0.25">
      <c r="A196"/>
      <c r="B196" s="30"/>
      <c r="C196" s="12"/>
      <c r="D196" s="12"/>
      <c r="E196" s="12"/>
      <c r="F196" s="12"/>
      <c r="G196" s="12"/>
      <c r="H196" s="13"/>
      <c r="I196" s="11"/>
      <c r="J196" s="11"/>
      <c r="K196" s="11"/>
      <c r="L196" s="11"/>
      <c r="M196" s="11"/>
      <c r="N196" s="11"/>
      <c r="O196" s="11"/>
      <c r="P196" s="11"/>
      <c r="Q196" s="11"/>
      <c r="R196" s="13"/>
      <c r="S196" s="13"/>
      <c r="T196" s="13"/>
      <c r="U196" s="13"/>
    </row>
    <row r="197" spans="1:21" x14ac:dyDescent="0.25">
      <c r="A197"/>
      <c r="B197" s="30"/>
      <c r="C197" s="12"/>
      <c r="D197" s="12"/>
      <c r="E197" s="12"/>
      <c r="F197" s="12"/>
      <c r="G197" s="12"/>
      <c r="H197" s="13"/>
      <c r="I197" s="11"/>
      <c r="J197" s="11"/>
      <c r="K197" s="11"/>
      <c r="L197" s="11"/>
      <c r="M197" s="11"/>
      <c r="N197" s="11"/>
      <c r="O197" s="11"/>
      <c r="P197" s="11"/>
      <c r="Q197" s="11"/>
      <c r="R197" s="13"/>
      <c r="S197" s="13"/>
      <c r="T197" s="13"/>
      <c r="U197" s="13"/>
    </row>
    <row r="198" spans="1:21" x14ac:dyDescent="0.25">
      <c r="A198"/>
      <c r="B198" s="30"/>
      <c r="C198" s="12"/>
      <c r="D198" s="12"/>
      <c r="E198" s="12"/>
      <c r="F198" s="12"/>
      <c r="G198" s="12"/>
      <c r="H198" s="13"/>
      <c r="I198" s="11"/>
      <c r="J198" s="11"/>
      <c r="K198" s="11"/>
      <c r="L198" s="11"/>
      <c r="M198" s="11"/>
      <c r="N198" s="11"/>
      <c r="O198" s="11"/>
      <c r="P198" s="11"/>
      <c r="Q198" s="11"/>
      <c r="R198" s="13"/>
      <c r="S198" s="13"/>
      <c r="T198" s="13"/>
      <c r="U198" s="13"/>
    </row>
    <row r="199" spans="1:21" x14ac:dyDescent="0.25">
      <c r="A199"/>
      <c r="B199" s="30"/>
      <c r="C199" s="12"/>
      <c r="D199" s="12"/>
      <c r="E199" s="12"/>
      <c r="F199" s="12"/>
      <c r="G199" s="12"/>
      <c r="H199" s="13"/>
      <c r="I199" s="11"/>
      <c r="J199" s="11"/>
      <c r="K199" s="11"/>
      <c r="L199" s="11"/>
      <c r="M199" s="11"/>
      <c r="N199" s="11"/>
      <c r="O199" s="11"/>
      <c r="P199" s="11"/>
      <c r="Q199" s="11"/>
      <c r="R199" s="13"/>
      <c r="S199" s="13"/>
      <c r="T199" s="13"/>
      <c r="U199" s="13"/>
    </row>
    <row r="200" spans="1:21" x14ac:dyDescent="0.25">
      <c r="A200"/>
      <c r="B200" s="30"/>
      <c r="C200" s="12"/>
      <c r="D200" s="12"/>
      <c r="E200" s="12"/>
      <c r="F200" s="12"/>
      <c r="G200" s="12"/>
      <c r="H200" s="13"/>
      <c r="I200" s="11"/>
      <c r="J200" s="11"/>
      <c r="K200" s="11"/>
      <c r="L200" s="11"/>
      <c r="M200" s="11"/>
      <c r="N200" s="11"/>
      <c r="O200" s="11"/>
      <c r="P200" s="11"/>
      <c r="Q200" s="11"/>
      <c r="R200" s="13"/>
      <c r="S200" s="13"/>
      <c r="T200" s="13"/>
      <c r="U200" s="13"/>
    </row>
    <row r="201" spans="1:21" x14ac:dyDescent="0.25">
      <c r="A201"/>
      <c r="B201" s="30"/>
      <c r="C201" s="12"/>
      <c r="D201" s="12"/>
      <c r="E201" s="12"/>
      <c r="F201" s="12"/>
      <c r="G201" s="12"/>
      <c r="H201" s="13"/>
      <c r="I201" s="11"/>
      <c r="J201" s="11"/>
      <c r="K201" s="11"/>
      <c r="L201" s="11"/>
      <c r="M201" s="11"/>
      <c r="N201" s="11"/>
      <c r="O201" s="11"/>
      <c r="P201" s="11"/>
      <c r="Q201" s="11"/>
      <c r="R201" s="13"/>
      <c r="S201" s="13"/>
      <c r="T201" s="13"/>
      <c r="U201" s="13"/>
    </row>
    <row r="202" spans="1:21" x14ac:dyDescent="0.25">
      <c r="A202"/>
      <c r="B202" s="30"/>
      <c r="C202" s="12"/>
      <c r="D202" s="12"/>
      <c r="E202" s="12"/>
      <c r="F202" s="12"/>
      <c r="G202" s="12"/>
      <c r="H202" s="13"/>
      <c r="I202" s="11"/>
      <c r="J202" s="11"/>
      <c r="K202" s="11"/>
      <c r="L202" s="11"/>
      <c r="M202" s="11"/>
      <c r="N202" s="11"/>
      <c r="O202" s="11"/>
      <c r="P202" s="11"/>
      <c r="Q202" s="11"/>
      <c r="R202" s="13"/>
      <c r="S202" s="13"/>
      <c r="T202" s="13"/>
      <c r="U202" s="13"/>
    </row>
    <row r="203" spans="1:21" x14ac:dyDescent="0.25">
      <c r="A203"/>
      <c r="B203" s="30"/>
      <c r="C203" s="12"/>
      <c r="D203" s="12"/>
      <c r="E203" s="12"/>
      <c r="F203" s="12"/>
      <c r="G203" s="12"/>
      <c r="H203" s="13"/>
      <c r="I203" s="11"/>
      <c r="J203" s="11"/>
      <c r="K203" s="11"/>
      <c r="L203" s="11"/>
      <c r="M203" s="11"/>
      <c r="N203" s="11"/>
      <c r="O203" s="11"/>
      <c r="P203" s="11"/>
      <c r="Q203" s="11"/>
      <c r="R203" s="13"/>
      <c r="S203" s="13"/>
      <c r="T203" s="13"/>
      <c r="U203" s="13"/>
    </row>
    <row r="204" spans="1:21" x14ac:dyDescent="0.25">
      <c r="A204"/>
      <c r="B204" s="30"/>
      <c r="C204" s="12"/>
      <c r="D204" s="12"/>
      <c r="E204" s="12"/>
      <c r="F204" s="12"/>
      <c r="G204" s="12"/>
      <c r="H204" s="13"/>
      <c r="I204" s="11"/>
      <c r="J204" s="11"/>
      <c r="K204" s="11"/>
      <c r="L204" s="11"/>
      <c r="M204" s="11"/>
      <c r="N204" s="11"/>
      <c r="O204" s="11"/>
      <c r="P204" s="11"/>
      <c r="Q204" s="11"/>
      <c r="R204" s="13"/>
      <c r="S204" s="13"/>
      <c r="T204" s="13"/>
      <c r="U204" s="13"/>
    </row>
    <row r="205" spans="1:21" x14ac:dyDescent="0.25">
      <c r="A205"/>
      <c r="B205" s="30"/>
      <c r="C205" s="12"/>
      <c r="D205" s="12"/>
      <c r="E205" s="12"/>
      <c r="F205" s="12"/>
      <c r="G205" s="12"/>
      <c r="H205" s="13"/>
      <c r="I205" s="11"/>
      <c r="J205" s="11"/>
      <c r="K205" s="11"/>
      <c r="L205" s="11"/>
      <c r="M205" s="11"/>
      <c r="N205" s="11"/>
      <c r="O205" s="11"/>
      <c r="P205" s="11"/>
      <c r="Q205" s="11"/>
      <c r="R205" s="13"/>
      <c r="S205" s="13"/>
      <c r="T205" s="13"/>
      <c r="U205" s="13"/>
    </row>
    <row r="206" spans="1:21" x14ac:dyDescent="0.25">
      <c r="A206"/>
      <c r="B206" s="30"/>
      <c r="C206" s="12"/>
      <c r="D206" s="12"/>
      <c r="E206" s="12"/>
      <c r="F206" s="12"/>
      <c r="G206" s="12"/>
      <c r="H206" s="13"/>
      <c r="I206" s="11"/>
      <c r="J206" s="11"/>
      <c r="K206" s="11"/>
      <c r="L206" s="11"/>
      <c r="M206" s="11"/>
      <c r="N206" s="11"/>
      <c r="O206" s="11"/>
      <c r="P206" s="11"/>
      <c r="Q206" s="11"/>
      <c r="R206" s="13"/>
      <c r="S206" s="13"/>
      <c r="T206" s="13"/>
      <c r="U206" s="13"/>
    </row>
    <row r="207" spans="1:21" x14ac:dyDescent="0.25">
      <c r="A207"/>
      <c r="B207" s="30"/>
      <c r="C207" s="12"/>
      <c r="D207" s="12"/>
      <c r="E207" s="12"/>
      <c r="F207" s="12"/>
      <c r="G207" s="12"/>
      <c r="H207" s="13"/>
      <c r="I207" s="11"/>
      <c r="J207" s="11"/>
      <c r="K207" s="11"/>
      <c r="L207" s="11"/>
      <c r="M207" s="11"/>
      <c r="N207" s="11"/>
      <c r="O207" s="11"/>
      <c r="P207" s="11"/>
      <c r="Q207" s="11"/>
      <c r="R207" s="13"/>
      <c r="S207" s="13"/>
      <c r="T207" s="13"/>
      <c r="U207" s="13"/>
    </row>
    <row r="208" spans="1:21" x14ac:dyDescent="0.25">
      <c r="A208"/>
      <c r="B208" s="30"/>
      <c r="C208" s="12"/>
      <c r="D208" s="12"/>
      <c r="E208" s="12"/>
      <c r="F208" s="12"/>
      <c r="G208" s="12"/>
      <c r="H208" s="13"/>
      <c r="I208" s="11"/>
      <c r="J208" s="11"/>
      <c r="K208" s="11"/>
      <c r="L208" s="11"/>
      <c r="M208" s="11"/>
      <c r="N208" s="11"/>
      <c r="O208" s="11"/>
      <c r="P208" s="11"/>
      <c r="Q208" s="11"/>
      <c r="R208" s="13"/>
      <c r="S208" s="13"/>
      <c r="T208" s="13"/>
      <c r="U208" s="13"/>
    </row>
    <row r="209" spans="1:21" x14ac:dyDescent="0.25">
      <c r="A209"/>
      <c r="B209" s="30"/>
      <c r="C209" s="12"/>
      <c r="D209" s="12"/>
      <c r="E209" s="12"/>
      <c r="F209" s="12"/>
      <c r="G209" s="12"/>
      <c r="H209" s="13"/>
      <c r="I209" s="11"/>
      <c r="J209" s="11"/>
      <c r="K209" s="11"/>
      <c r="L209" s="11"/>
      <c r="M209" s="11"/>
      <c r="N209" s="11"/>
      <c r="O209" s="11"/>
      <c r="P209" s="11"/>
      <c r="Q209" s="11"/>
      <c r="R209" s="13"/>
      <c r="S209" s="13"/>
      <c r="T209" s="13"/>
      <c r="U209" s="13"/>
    </row>
    <row r="210" spans="1:21" x14ac:dyDescent="0.25">
      <c r="A210"/>
      <c r="B210" s="30"/>
      <c r="C210" s="12"/>
      <c r="D210" s="12"/>
      <c r="E210" s="12"/>
      <c r="F210" s="12"/>
      <c r="G210" s="12"/>
      <c r="H210" s="13"/>
      <c r="I210" s="11"/>
      <c r="J210" s="11"/>
      <c r="K210" s="11"/>
      <c r="L210" s="11"/>
      <c r="M210" s="11"/>
      <c r="N210" s="11"/>
      <c r="O210" s="11"/>
      <c r="P210" s="11"/>
      <c r="Q210" s="11"/>
      <c r="R210" s="13"/>
      <c r="S210" s="13"/>
      <c r="T210" s="13"/>
      <c r="U210" s="13"/>
    </row>
    <row r="211" spans="1:21" x14ac:dyDescent="0.25">
      <c r="A211"/>
      <c r="B211" s="30"/>
      <c r="C211" s="12"/>
      <c r="D211" s="12"/>
      <c r="E211" s="12"/>
      <c r="F211" s="12"/>
      <c r="G211" s="12"/>
      <c r="H211" s="13"/>
      <c r="I211" s="11"/>
      <c r="J211" s="11"/>
      <c r="K211" s="11"/>
      <c r="L211" s="11"/>
      <c r="M211" s="11"/>
      <c r="N211" s="11"/>
      <c r="O211" s="11"/>
      <c r="P211" s="11"/>
      <c r="Q211" s="11"/>
      <c r="R211" s="13"/>
      <c r="S211" s="13"/>
      <c r="T211" s="13"/>
      <c r="U211" s="13"/>
    </row>
    <row r="212" spans="1:21" x14ac:dyDescent="0.25">
      <c r="A212"/>
      <c r="B212" s="30"/>
      <c r="C212" s="12"/>
      <c r="D212" s="12"/>
      <c r="E212" s="12"/>
      <c r="F212" s="12"/>
      <c r="G212" s="12"/>
      <c r="H212" s="13"/>
      <c r="I212" s="11"/>
      <c r="J212" s="11"/>
      <c r="K212" s="11"/>
      <c r="L212" s="11"/>
      <c r="M212" s="11"/>
      <c r="N212" s="11"/>
      <c r="O212" s="11"/>
      <c r="P212" s="11"/>
      <c r="Q212" s="11"/>
      <c r="R212" s="13"/>
      <c r="S212" s="13"/>
      <c r="T212" s="13"/>
      <c r="U212" s="13"/>
    </row>
    <row r="213" spans="1:21" x14ac:dyDescent="0.25">
      <c r="A213"/>
      <c r="B213" s="30"/>
      <c r="C213" s="12"/>
      <c r="D213" s="12"/>
      <c r="E213" s="12"/>
      <c r="F213" s="12"/>
      <c r="G213" s="12"/>
      <c r="H213" s="13"/>
      <c r="I213" s="11"/>
      <c r="J213" s="11"/>
      <c r="K213" s="11"/>
      <c r="L213" s="11"/>
      <c r="M213" s="11"/>
      <c r="N213" s="11"/>
      <c r="O213" s="11"/>
      <c r="P213" s="11"/>
      <c r="Q213" s="11"/>
      <c r="R213" s="13"/>
      <c r="S213" s="13"/>
      <c r="T213" s="13"/>
      <c r="U213" s="13"/>
    </row>
    <row r="214" spans="1:21" x14ac:dyDescent="0.25">
      <c r="A214"/>
      <c r="B214" s="30"/>
      <c r="C214" s="12"/>
      <c r="D214" s="12"/>
      <c r="E214" s="12"/>
      <c r="F214" s="12"/>
      <c r="G214" s="12"/>
      <c r="H214" s="13"/>
      <c r="I214" s="11"/>
      <c r="J214" s="11"/>
      <c r="K214" s="11"/>
      <c r="L214" s="11"/>
      <c r="M214" s="11"/>
      <c r="N214" s="11"/>
      <c r="O214" s="11"/>
      <c r="P214" s="11"/>
      <c r="Q214" s="11"/>
      <c r="R214" s="13"/>
      <c r="S214" s="13"/>
      <c r="T214" s="13"/>
      <c r="U214" s="13"/>
    </row>
    <row r="215" spans="1:21" x14ac:dyDescent="0.25">
      <c r="A215"/>
      <c r="B215" s="30"/>
      <c r="C215" s="12"/>
      <c r="D215" s="12"/>
      <c r="E215" s="12"/>
      <c r="F215" s="12"/>
      <c r="G215" s="12"/>
      <c r="H215" s="13"/>
      <c r="I215" s="11"/>
      <c r="J215" s="11"/>
      <c r="K215" s="11"/>
      <c r="L215" s="11"/>
      <c r="M215" s="11"/>
      <c r="N215" s="11"/>
      <c r="O215" s="11"/>
      <c r="P215" s="11"/>
      <c r="Q215" s="11"/>
      <c r="R215" s="13"/>
      <c r="S215" s="13"/>
      <c r="T215" s="13"/>
      <c r="U215" s="13"/>
    </row>
    <row r="216" spans="1:21" x14ac:dyDescent="0.25">
      <c r="A216"/>
      <c r="B216" s="30"/>
      <c r="C216" s="12"/>
      <c r="D216" s="12"/>
      <c r="E216" s="12"/>
      <c r="F216" s="12"/>
      <c r="G216" s="12"/>
      <c r="H216" s="13"/>
      <c r="I216" s="11"/>
      <c r="J216" s="11"/>
      <c r="K216" s="11"/>
      <c r="L216" s="11"/>
      <c r="M216" s="11"/>
      <c r="N216" s="11"/>
      <c r="O216" s="11"/>
      <c r="P216" s="11"/>
      <c r="Q216" s="11"/>
      <c r="R216" s="13"/>
      <c r="S216" s="13"/>
      <c r="T216" s="13"/>
      <c r="U216" s="13"/>
    </row>
    <row r="217" spans="1:21" x14ac:dyDescent="0.25">
      <c r="A217"/>
      <c r="B217" s="30"/>
      <c r="C217" s="12"/>
      <c r="D217" s="12"/>
      <c r="E217" s="12"/>
      <c r="F217" s="12"/>
      <c r="G217" s="12"/>
      <c r="H217" s="13"/>
      <c r="I217" s="11"/>
      <c r="J217" s="11"/>
      <c r="K217" s="11"/>
      <c r="L217" s="11"/>
      <c r="M217" s="11"/>
      <c r="N217" s="11"/>
      <c r="O217" s="11"/>
      <c r="P217" s="11"/>
      <c r="Q217" s="11"/>
      <c r="R217" s="13"/>
      <c r="S217" s="13"/>
      <c r="T217" s="13"/>
      <c r="U217" s="13"/>
    </row>
    <row r="218" spans="1:21" x14ac:dyDescent="0.25">
      <c r="A218"/>
      <c r="B218" s="30"/>
      <c r="C218" s="12"/>
      <c r="D218" s="12"/>
      <c r="E218" s="12"/>
      <c r="F218" s="12"/>
      <c r="G218" s="12"/>
      <c r="H218" s="13"/>
      <c r="I218" s="11"/>
      <c r="J218" s="11"/>
      <c r="K218" s="11"/>
      <c r="L218" s="11"/>
      <c r="M218" s="11"/>
      <c r="N218" s="11"/>
      <c r="O218" s="11"/>
      <c r="P218" s="11"/>
      <c r="Q218" s="11"/>
      <c r="R218" s="13"/>
      <c r="S218" s="13"/>
      <c r="T218" s="13"/>
      <c r="U218" s="13"/>
    </row>
    <row r="219" spans="1:21" x14ac:dyDescent="0.25">
      <c r="A219"/>
      <c r="B219" s="30"/>
      <c r="C219" s="12"/>
      <c r="D219" s="12"/>
      <c r="E219" s="12"/>
      <c r="F219" s="12"/>
      <c r="G219" s="12"/>
      <c r="H219" s="13"/>
      <c r="I219" s="11"/>
      <c r="J219" s="11"/>
      <c r="K219" s="11"/>
      <c r="L219" s="11"/>
      <c r="M219" s="11"/>
      <c r="N219" s="11"/>
      <c r="O219" s="11"/>
      <c r="P219" s="11"/>
      <c r="Q219" s="11"/>
      <c r="R219" s="13"/>
      <c r="S219" s="13"/>
      <c r="T219" s="13"/>
      <c r="U219" s="13"/>
    </row>
    <row r="220" spans="1:21" x14ac:dyDescent="0.25">
      <c r="A220"/>
      <c r="B220" s="30"/>
      <c r="C220" s="12"/>
      <c r="D220" s="12"/>
      <c r="E220" s="12"/>
      <c r="F220" s="12"/>
      <c r="G220" s="12"/>
      <c r="H220" s="13"/>
      <c r="I220" s="11"/>
      <c r="J220" s="11"/>
      <c r="K220" s="11"/>
      <c r="L220" s="11"/>
      <c r="M220" s="11"/>
      <c r="N220" s="11"/>
      <c r="O220" s="11"/>
      <c r="P220" s="11"/>
      <c r="Q220" s="11"/>
      <c r="R220" s="13"/>
      <c r="S220" s="13"/>
      <c r="T220" s="13"/>
      <c r="U220" s="13"/>
    </row>
    <row r="221" spans="1:21" x14ac:dyDescent="0.25">
      <c r="A221"/>
      <c r="B221" s="30"/>
      <c r="C221" s="12"/>
      <c r="D221" s="12"/>
      <c r="E221" s="12"/>
      <c r="F221" s="12"/>
      <c r="G221" s="12"/>
      <c r="H221" s="13"/>
      <c r="I221" s="11"/>
      <c r="J221" s="11"/>
      <c r="K221" s="11"/>
      <c r="L221" s="11"/>
      <c r="M221" s="11"/>
      <c r="N221" s="11"/>
      <c r="O221" s="11"/>
      <c r="P221" s="11"/>
      <c r="Q221" s="11"/>
      <c r="R221" s="13"/>
      <c r="S221" s="13"/>
      <c r="T221" s="13"/>
      <c r="U221" s="13"/>
    </row>
    <row r="222" spans="1:21" x14ac:dyDescent="0.25">
      <c r="A222"/>
      <c r="B222" s="30"/>
      <c r="C222" s="12"/>
      <c r="D222" s="12"/>
      <c r="E222" s="12"/>
      <c r="F222" s="12"/>
      <c r="G222" s="12"/>
      <c r="H222" s="13"/>
      <c r="I222" s="11"/>
      <c r="J222" s="11"/>
      <c r="K222" s="11"/>
      <c r="L222" s="11"/>
      <c r="M222" s="11"/>
      <c r="N222" s="11"/>
      <c r="O222" s="11"/>
      <c r="P222" s="11"/>
      <c r="Q222" s="11"/>
      <c r="R222" s="13"/>
      <c r="S222" s="13"/>
      <c r="T222" s="13"/>
      <c r="U222" s="13"/>
    </row>
    <row r="223" spans="1:21" x14ac:dyDescent="0.25">
      <c r="A223"/>
      <c r="B223" s="30"/>
      <c r="C223" s="12"/>
      <c r="D223" s="12"/>
      <c r="E223" s="12"/>
      <c r="F223" s="12"/>
      <c r="G223" s="12"/>
      <c r="H223" s="13"/>
      <c r="I223" s="11"/>
      <c r="J223" s="11"/>
      <c r="K223" s="11"/>
      <c r="L223" s="11"/>
      <c r="M223" s="11"/>
      <c r="N223" s="11"/>
      <c r="O223" s="11"/>
      <c r="P223" s="11"/>
      <c r="Q223" s="11"/>
      <c r="R223" s="13"/>
      <c r="S223" s="13"/>
      <c r="T223" s="13"/>
      <c r="U223" s="13"/>
    </row>
    <row r="224" spans="1:21" x14ac:dyDescent="0.25">
      <c r="A224"/>
      <c r="B224" s="30"/>
      <c r="C224" s="12"/>
      <c r="D224" s="12"/>
      <c r="E224" s="12"/>
      <c r="F224" s="12"/>
      <c r="G224" s="12"/>
      <c r="H224" s="13"/>
      <c r="I224" s="11"/>
      <c r="J224" s="11"/>
      <c r="K224" s="11"/>
      <c r="L224" s="11"/>
      <c r="M224" s="11"/>
      <c r="N224" s="11"/>
      <c r="O224" s="11"/>
      <c r="P224" s="11"/>
      <c r="Q224" s="11"/>
      <c r="R224" s="13"/>
      <c r="S224" s="13"/>
      <c r="T224" s="13"/>
      <c r="U224" s="13"/>
    </row>
    <row r="225" spans="1:21" x14ac:dyDescent="0.25">
      <c r="A225"/>
      <c r="B225" s="30"/>
      <c r="C225" s="12"/>
      <c r="D225" s="12"/>
      <c r="E225" s="12"/>
      <c r="F225" s="12"/>
      <c r="G225" s="12"/>
      <c r="H225" s="13"/>
      <c r="I225" s="11"/>
      <c r="J225" s="11"/>
      <c r="K225" s="11"/>
      <c r="L225" s="11"/>
      <c r="M225" s="11"/>
      <c r="N225" s="11"/>
      <c r="O225" s="11"/>
      <c r="P225" s="11"/>
      <c r="Q225" s="11"/>
      <c r="R225" s="13"/>
      <c r="S225" s="13"/>
      <c r="T225" s="13"/>
      <c r="U225" s="13"/>
    </row>
    <row r="226" spans="1:21" x14ac:dyDescent="0.25">
      <c r="A226"/>
      <c r="B226" s="30"/>
      <c r="C226" s="12"/>
      <c r="D226" s="12"/>
      <c r="E226" s="12"/>
      <c r="F226" s="12"/>
      <c r="G226" s="12"/>
      <c r="H226" s="13"/>
      <c r="I226" s="11"/>
      <c r="J226" s="11"/>
      <c r="K226" s="11"/>
      <c r="L226" s="11"/>
      <c r="M226" s="11"/>
      <c r="N226" s="11"/>
      <c r="O226" s="11"/>
      <c r="P226" s="11"/>
      <c r="Q226" s="11"/>
      <c r="R226" s="13"/>
      <c r="S226" s="13"/>
      <c r="T226" s="13"/>
      <c r="U226" s="13"/>
    </row>
    <row r="227" spans="1:21" x14ac:dyDescent="0.25">
      <c r="A227"/>
      <c r="B227" s="30"/>
      <c r="C227" s="12"/>
      <c r="D227" s="12"/>
      <c r="E227" s="12"/>
      <c r="F227" s="12"/>
      <c r="G227" s="12"/>
      <c r="H227" s="13"/>
      <c r="I227" s="11"/>
      <c r="J227" s="11"/>
      <c r="K227" s="11"/>
      <c r="L227" s="11"/>
      <c r="M227" s="11"/>
      <c r="N227" s="11"/>
      <c r="O227" s="11"/>
      <c r="P227" s="11"/>
      <c r="Q227" s="11"/>
      <c r="R227" s="13"/>
      <c r="S227" s="13"/>
      <c r="T227" s="13"/>
      <c r="U227" s="13"/>
    </row>
    <row r="228" spans="1:21" x14ac:dyDescent="0.25">
      <c r="A228"/>
      <c r="B228" s="30"/>
      <c r="C228" s="12"/>
      <c r="D228" s="12"/>
      <c r="E228" s="12"/>
      <c r="F228" s="12"/>
      <c r="G228" s="12"/>
      <c r="H228" s="13"/>
      <c r="I228" s="11"/>
      <c r="J228" s="11"/>
      <c r="K228" s="11"/>
      <c r="L228" s="11"/>
      <c r="M228" s="11"/>
      <c r="N228" s="11"/>
      <c r="O228" s="11"/>
      <c r="P228" s="11"/>
      <c r="Q228" s="11"/>
      <c r="R228" s="13"/>
      <c r="S228" s="13"/>
      <c r="T228" s="13"/>
      <c r="U228" s="13"/>
    </row>
    <row r="229" spans="1:21" x14ac:dyDescent="0.25">
      <c r="A229"/>
      <c r="B229" s="30"/>
      <c r="C229" s="12"/>
      <c r="D229" s="12"/>
      <c r="E229" s="12"/>
      <c r="F229" s="12"/>
      <c r="G229" s="12"/>
      <c r="H229" s="13"/>
      <c r="I229" s="11"/>
      <c r="J229" s="11"/>
      <c r="K229" s="11"/>
      <c r="L229" s="11"/>
      <c r="M229" s="11"/>
      <c r="N229" s="11"/>
      <c r="O229" s="11"/>
      <c r="P229" s="11"/>
      <c r="Q229" s="11"/>
      <c r="R229" s="13"/>
      <c r="S229" s="13"/>
      <c r="T229" s="13"/>
      <c r="U229" s="13"/>
    </row>
    <row r="230" spans="1:21" x14ac:dyDescent="0.25">
      <c r="A230"/>
      <c r="B230" s="30"/>
      <c r="C230" s="12"/>
      <c r="D230" s="12"/>
      <c r="E230" s="12"/>
      <c r="F230" s="12"/>
      <c r="G230" s="12"/>
      <c r="H230" s="13"/>
      <c r="I230" s="11"/>
      <c r="J230" s="11"/>
      <c r="K230" s="11"/>
      <c r="L230" s="11"/>
      <c r="M230" s="11"/>
      <c r="N230" s="11"/>
      <c r="O230" s="11"/>
      <c r="P230" s="11"/>
      <c r="Q230" s="11"/>
      <c r="R230" s="13"/>
      <c r="S230" s="13"/>
      <c r="T230" s="13"/>
      <c r="U230" s="13"/>
    </row>
    <row r="231" spans="1:21" x14ac:dyDescent="0.25">
      <c r="A231"/>
      <c r="B231" s="30"/>
      <c r="C231" s="12"/>
      <c r="D231" s="12"/>
      <c r="E231" s="12"/>
      <c r="F231" s="12"/>
      <c r="G231" s="12"/>
      <c r="H231" s="13"/>
      <c r="I231" s="11"/>
      <c r="J231" s="11"/>
      <c r="K231" s="11"/>
      <c r="L231" s="11"/>
      <c r="M231" s="11"/>
      <c r="N231" s="11"/>
      <c r="O231" s="11"/>
      <c r="P231" s="11"/>
      <c r="Q231" s="11"/>
      <c r="R231" s="13"/>
      <c r="S231" s="13"/>
      <c r="T231" s="13"/>
      <c r="U231" s="13"/>
    </row>
    <row r="232" spans="1:21" x14ac:dyDescent="0.25">
      <c r="A232"/>
      <c r="B232" s="30"/>
      <c r="C232" s="12"/>
      <c r="D232" s="12"/>
      <c r="E232" s="12"/>
      <c r="F232" s="12"/>
      <c r="G232" s="12"/>
      <c r="H232" s="13"/>
      <c r="I232" s="11"/>
      <c r="J232" s="11"/>
      <c r="K232" s="11"/>
      <c r="L232" s="11"/>
      <c r="M232" s="11"/>
      <c r="N232" s="11"/>
      <c r="O232" s="11"/>
      <c r="P232" s="11"/>
      <c r="Q232" s="11"/>
      <c r="R232" s="13"/>
      <c r="S232" s="13"/>
      <c r="T232" s="13"/>
      <c r="U232" s="13"/>
    </row>
    <row r="233" spans="1:21" x14ac:dyDescent="0.25">
      <c r="A233"/>
      <c r="B233" s="30"/>
      <c r="C233" s="12"/>
      <c r="D233" s="12"/>
      <c r="E233" s="12"/>
      <c r="F233" s="12"/>
      <c r="G233" s="12"/>
      <c r="H233" s="13"/>
      <c r="I233" s="11"/>
      <c r="J233" s="11"/>
      <c r="K233" s="11"/>
      <c r="L233" s="11"/>
      <c r="M233" s="11"/>
      <c r="N233" s="11"/>
      <c r="O233" s="11"/>
      <c r="P233" s="11"/>
      <c r="Q233" s="11"/>
      <c r="R233" s="13"/>
      <c r="S233" s="13"/>
      <c r="T233" s="13"/>
      <c r="U233" s="13"/>
    </row>
    <row r="234" spans="1:21" x14ac:dyDescent="0.25">
      <c r="A234"/>
      <c r="B234" s="30"/>
      <c r="C234" s="12"/>
      <c r="D234" s="12"/>
      <c r="E234" s="12"/>
      <c r="F234" s="12"/>
      <c r="G234" s="12"/>
      <c r="H234" s="13"/>
      <c r="I234" s="11"/>
      <c r="J234" s="11"/>
      <c r="K234" s="11"/>
      <c r="L234" s="11"/>
      <c r="M234" s="11"/>
      <c r="N234" s="11"/>
      <c r="O234" s="11"/>
      <c r="P234" s="11"/>
      <c r="Q234" s="11"/>
      <c r="R234" s="13"/>
      <c r="S234" s="13"/>
      <c r="T234" s="13"/>
      <c r="U234" s="13"/>
    </row>
    <row r="235" spans="1:21" x14ac:dyDescent="0.25">
      <c r="A235"/>
      <c r="B235" s="30"/>
      <c r="C235" s="12"/>
      <c r="D235" s="12"/>
      <c r="E235" s="12"/>
      <c r="F235" s="12"/>
      <c r="G235" s="12"/>
      <c r="H235" s="13"/>
      <c r="I235" s="11"/>
      <c r="J235" s="11"/>
      <c r="K235" s="11"/>
      <c r="L235" s="11"/>
      <c r="M235" s="11"/>
      <c r="N235" s="11"/>
      <c r="O235" s="11"/>
      <c r="P235" s="11"/>
      <c r="Q235" s="11"/>
      <c r="R235" s="13"/>
      <c r="S235" s="13"/>
      <c r="T235" s="13"/>
      <c r="U235" s="13"/>
    </row>
    <row r="236" spans="1:21" x14ac:dyDescent="0.25">
      <c r="A236"/>
      <c r="B236" s="30"/>
      <c r="C236" s="12"/>
      <c r="D236" s="12"/>
      <c r="E236" s="12"/>
      <c r="F236" s="12"/>
      <c r="G236" s="12"/>
      <c r="H236" s="13"/>
      <c r="I236" s="11"/>
      <c r="J236" s="11"/>
      <c r="K236" s="11"/>
      <c r="L236" s="11"/>
      <c r="M236" s="11"/>
      <c r="N236" s="11"/>
      <c r="O236" s="11"/>
      <c r="P236" s="11"/>
      <c r="Q236" s="11"/>
      <c r="R236" s="13"/>
      <c r="S236" s="13"/>
      <c r="T236" s="13"/>
      <c r="U236" s="13"/>
    </row>
    <row r="237" spans="1:21" x14ac:dyDescent="0.25">
      <c r="A237"/>
      <c r="B237" s="30"/>
      <c r="C237" s="12"/>
      <c r="D237" s="12"/>
      <c r="E237" s="12"/>
      <c r="F237" s="12"/>
      <c r="G237" s="12"/>
      <c r="H237" s="13"/>
      <c r="I237" s="11"/>
      <c r="J237" s="11"/>
      <c r="K237" s="11"/>
      <c r="L237" s="11"/>
      <c r="M237" s="11"/>
      <c r="N237" s="11"/>
      <c r="O237" s="11"/>
      <c r="P237" s="11"/>
      <c r="Q237" s="11"/>
      <c r="R237" s="13"/>
      <c r="S237" s="13"/>
      <c r="T237" s="13"/>
      <c r="U237" s="13"/>
    </row>
    <row r="238" spans="1:21" x14ac:dyDescent="0.25">
      <c r="A238"/>
      <c r="B238" s="30"/>
      <c r="C238" s="12"/>
      <c r="D238" s="12"/>
      <c r="E238" s="12"/>
      <c r="F238" s="12"/>
      <c r="G238" s="12"/>
      <c r="H238" s="13"/>
      <c r="I238" s="11"/>
      <c r="J238" s="11"/>
      <c r="K238" s="11"/>
      <c r="L238" s="11"/>
      <c r="M238" s="11"/>
      <c r="N238" s="11"/>
      <c r="O238" s="11"/>
      <c r="P238" s="11"/>
      <c r="Q238" s="11"/>
      <c r="R238" s="13"/>
      <c r="S238" s="13"/>
      <c r="T238" s="13"/>
      <c r="U238" s="13"/>
    </row>
    <row r="239" spans="1:21" x14ac:dyDescent="0.25">
      <c r="A239"/>
      <c r="B239" s="30"/>
      <c r="C239" s="12"/>
      <c r="D239" s="12"/>
      <c r="E239" s="12"/>
      <c r="F239" s="12"/>
      <c r="G239" s="12"/>
      <c r="H239" s="13"/>
      <c r="I239" s="11"/>
      <c r="J239" s="11"/>
      <c r="K239" s="11"/>
      <c r="L239" s="11"/>
      <c r="M239" s="11"/>
      <c r="N239" s="11"/>
      <c r="O239" s="11"/>
      <c r="P239" s="11"/>
      <c r="Q239" s="11"/>
      <c r="R239" s="13"/>
      <c r="S239" s="13"/>
      <c r="T239" s="13"/>
      <c r="U239" s="13"/>
    </row>
    <row r="240" spans="1:21" x14ac:dyDescent="0.25">
      <c r="A240"/>
      <c r="B240" s="30"/>
      <c r="C240" s="12"/>
      <c r="D240" s="12"/>
      <c r="E240" s="12"/>
      <c r="F240" s="12"/>
      <c r="G240" s="12"/>
      <c r="H240" s="13"/>
      <c r="I240" s="11"/>
      <c r="J240" s="11"/>
      <c r="K240" s="11"/>
      <c r="L240" s="11"/>
      <c r="M240" s="11"/>
      <c r="N240" s="11"/>
      <c r="O240" s="11"/>
      <c r="P240" s="11"/>
      <c r="Q240" s="11"/>
      <c r="R240" s="13"/>
      <c r="S240" s="13"/>
      <c r="T240" s="13"/>
      <c r="U240" s="13"/>
    </row>
    <row r="241" spans="1:21" x14ac:dyDescent="0.25">
      <c r="A241"/>
      <c r="B241" s="30"/>
      <c r="C241" s="12"/>
      <c r="D241" s="12"/>
      <c r="E241" s="12"/>
      <c r="F241" s="12"/>
      <c r="G241" s="12"/>
      <c r="H241" s="13"/>
      <c r="I241" s="11"/>
      <c r="J241" s="11"/>
      <c r="K241" s="11"/>
      <c r="L241" s="11"/>
      <c r="M241" s="11"/>
      <c r="N241" s="11"/>
      <c r="O241" s="11"/>
      <c r="P241" s="11"/>
      <c r="Q241" s="11"/>
      <c r="R241" s="13"/>
      <c r="S241" s="13"/>
      <c r="T241" s="13"/>
      <c r="U241" s="13"/>
    </row>
    <row r="242" spans="1:21" x14ac:dyDescent="0.25">
      <c r="A242"/>
      <c r="B242" s="30"/>
      <c r="C242" s="12"/>
      <c r="D242" s="12"/>
      <c r="E242" s="12"/>
      <c r="F242" s="12"/>
      <c r="G242" s="12"/>
      <c r="H242" s="13"/>
      <c r="I242" s="11"/>
      <c r="J242" s="11"/>
      <c r="K242" s="11"/>
      <c r="L242" s="11"/>
      <c r="M242" s="11"/>
      <c r="N242" s="11"/>
      <c r="O242" s="11"/>
      <c r="P242" s="11"/>
      <c r="Q242" s="11"/>
      <c r="R242" s="13"/>
      <c r="S242" s="13"/>
      <c r="T242" s="13"/>
      <c r="U242" s="13"/>
    </row>
    <row r="243" spans="1:21" x14ac:dyDescent="0.25">
      <c r="A243"/>
      <c r="B243" s="30"/>
      <c r="C243" s="12"/>
      <c r="D243" s="12"/>
      <c r="E243" s="12"/>
      <c r="F243" s="12"/>
      <c r="G243" s="12"/>
      <c r="H243" s="13"/>
      <c r="I243" s="11"/>
      <c r="J243" s="11"/>
      <c r="K243" s="11"/>
      <c r="L243" s="11"/>
      <c r="M243" s="11"/>
      <c r="N243" s="11"/>
      <c r="O243" s="11"/>
      <c r="P243" s="11"/>
      <c r="Q243" s="11"/>
      <c r="R243" s="13"/>
      <c r="S243" s="13"/>
      <c r="T243" s="13"/>
      <c r="U243" s="13"/>
    </row>
    <row r="244" spans="1:21" x14ac:dyDescent="0.25">
      <c r="A244"/>
      <c r="B244" s="30"/>
      <c r="C244" s="12"/>
      <c r="D244" s="12"/>
      <c r="E244" s="12"/>
      <c r="F244" s="12"/>
      <c r="G244" s="12"/>
      <c r="H244" s="13"/>
      <c r="I244" s="11"/>
      <c r="J244" s="11"/>
      <c r="K244" s="11"/>
      <c r="L244" s="11"/>
      <c r="M244" s="11"/>
      <c r="N244" s="11"/>
      <c r="O244" s="11"/>
      <c r="P244" s="11"/>
      <c r="Q244" s="11"/>
      <c r="R244" s="13"/>
      <c r="S244" s="13"/>
      <c r="T244" s="13"/>
      <c r="U244" s="13"/>
    </row>
    <row r="245" spans="1:21" x14ac:dyDescent="0.25">
      <c r="A245"/>
      <c r="B245" s="30"/>
      <c r="C245" s="12"/>
      <c r="D245" s="12"/>
      <c r="E245" s="12"/>
      <c r="F245" s="12"/>
      <c r="G245" s="12"/>
      <c r="H245" s="13"/>
      <c r="I245" s="11"/>
      <c r="J245" s="11"/>
      <c r="K245" s="11"/>
      <c r="L245" s="11"/>
      <c r="M245" s="11"/>
      <c r="N245" s="11"/>
      <c r="O245" s="11"/>
      <c r="P245" s="11"/>
      <c r="Q245" s="11"/>
      <c r="R245" s="13"/>
      <c r="S245" s="13"/>
      <c r="T245" s="13"/>
      <c r="U245" s="13"/>
    </row>
    <row r="246" spans="1:21" x14ac:dyDescent="0.25">
      <c r="A246"/>
      <c r="B246" s="30"/>
      <c r="C246" s="12"/>
      <c r="D246" s="12"/>
      <c r="E246" s="12"/>
      <c r="F246" s="12"/>
      <c r="G246" s="12"/>
      <c r="H246" s="13"/>
      <c r="I246" s="11"/>
      <c r="J246" s="11"/>
      <c r="K246" s="11"/>
      <c r="L246" s="11"/>
      <c r="M246" s="11"/>
      <c r="N246" s="11"/>
      <c r="O246" s="11"/>
      <c r="P246" s="11"/>
      <c r="Q246" s="11"/>
      <c r="R246" s="13"/>
      <c r="S246" s="13"/>
      <c r="T246" s="13"/>
      <c r="U246" s="13"/>
    </row>
    <row r="247" spans="1:21" x14ac:dyDescent="0.25">
      <c r="A247"/>
      <c r="B247" s="30"/>
      <c r="C247" s="12"/>
      <c r="D247" s="12"/>
      <c r="E247" s="12"/>
      <c r="F247" s="12"/>
      <c r="G247" s="12"/>
      <c r="H247" s="13"/>
      <c r="I247" s="11"/>
      <c r="J247" s="11"/>
      <c r="K247" s="11"/>
      <c r="L247" s="11"/>
      <c r="M247" s="11"/>
      <c r="N247" s="11"/>
      <c r="O247" s="11"/>
      <c r="P247" s="11"/>
      <c r="Q247" s="11"/>
      <c r="R247" s="13"/>
      <c r="S247" s="13"/>
      <c r="T247" s="13"/>
      <c r="U247" s="13"/>
    </row>
    <row r="248" spans="1:21" x14ac:dyDescent="0.25">
      <c r="A248"/>
      <c r="B248" s="30"/>
      <c r="C248" s="12"/>
      <c r="D248" s="12"/>
      <c r="E248" s="12"/>
      <c r="F248" s="12"/>
      <c r="G248" s="12"/>
      <c r="H248" s="13"/>
      <c r="I248" s="11"/>
      <c r="J248" s="11"/>
      <c r="K248" s="11"/>
      <c r="L248" s="11"/>
      <c r="M248" s="11"/>
      <c r="N248" s="11"/>
      <c r="O248" s="11"/>
      <c r="P248" s="11"/>
      <c r="Q248" s="11"/>
      <c r="R248" s="13"/>
      <c r="S248" s="13"/>
      <c r="T248" s="13"/>
      <c r="U248" s="13"/>
    </row>
    <row r="249" spans="1:21" x14ac:dyDescent="0.25">
      <c r="A249"/>
      <c r="B249" s="30"/>
      <c r="C249" s="12"/>
      <c r="D249" s="12"/>
      <c r="E249" s="12"/>
      <c r="F249" s="12"/>
      <c r="G249" s="12"/>
      <c r="H249" s="13"/>
      <c r="I249" s="11"/>
      <c r="J249" s="11"/>
      <c r="K249" s="11"/>
      <c r="L249" s="11"/>
      <c r="M249" s="11"/>
      <c r="N249" s="11"/>
      <c r="O249" s="11"/>
      <c r="P249" s="11"/>
      <c r="Q249" s="11"/>
      <c r="R249" s="13"/>
      <c r="S249" s="13"/>
      <c r="T249" s="13"/>
      <c r="U249" s="13"/>
    </row>
    <row r="250" spans="1:21" x14ac:dyDescent="0.25">
      <c r="A250"/>
      <c r="B250" s="30"/>
      <c r="C250" s="12"/>
      <c r="D250" s="12"/>
      <c r="E250" s="12"/>
      <c r="F250" s="12"/>
      <c r="G250" s="12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</sheetData>
  <mergeCells count="23">
    <mergeCell ref="A6:U6"/>
    <mergeCell ref="A7:U7"/>
    <mergeCell ref="A8:A12"/>
    <mergeCell ref="B8:B12"/>
    <mergeCell ref="C8:G9"/>
    <mergeCell ref="H8:H12"/>
    <mergeCell ref="I8:K9"/>
    <mergeCell ref="L8:N9"/>
    <mergeCell ref="O8:Q9"/>
    <mergeCell ref="R8:S9"/>
    <mergeCell ref="T8:T12"/>
    <mergeCell ref="U8:U12"/>
    <mergeCell ref="I10:I12"/>
    <mergeCell ref="J10:J12"/>
    <mergeCell ref="K10:K12"/>
    <mergeCell ref="L10:L12"/>
    <mergeCell ref="R10:R12"/>
    <mergeCell ref="S10:S12"/>
    <mergeCell ref="M10:M12"/>
    <mergeCell ref="N10:N12"/>
    <mergeCell ref="O10:O12"/>
    <mergeCell ref="P10:P12"/>
    <mergeCell ref="Q10:Q12"/>
  </mergeCells>
  <pageMargins left="0.01" right="0.01" top="0.80000000000000016" bottom="0.40000000000000008" header="0.5" footer="0.5"/>
  <pageSetup paperSize="9" fitToHeight="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250"/>
  <sheetViews>
    <sheetView tabSelected="1" zoomScale="55" zoomScaleNormal="55" workbookViewId="0">
      <selection activeCell="AB31" sqref="AB31"/>
    </sheetView>
  </sheetViews>
  <sheetFormatPr defaultRowHeight="13.2" x14ac:dyDescent="0.25"/>
  <cols>
    <col min="1" max="2" width="5" style="20" customWidth="1"/>
    <col min="3" max="3" width="6.88671875" style="15" customWidth="1"/>
    <col min="4" max="4" width="6.33203125" style="1" customWidth="1"/>
    <col min="5" max="5" width="6" style="1" customWidth="1"/>
    <col min="6" max="6" width="5.5546875" style="1" customWidth="1"/>
    <col min="7" max="7" width="5.33203125" style="1" customWidth="1"/>
    <col min="8" max="8" width="5.6640625" style="1" customWidth="1"/>
    <col min="9" max="9" width="7.109375" style="2" customWidth="1"/>
    <col min="10" max="10" width="12.109375" style="2" customWidth="1"/>
    <col min="11" max="11" width="9.88671875" style="2" customWidth="1"/>
    <col min="12" max="12" width="13.33203125" style="2" customWidth="1"/>
    <col min="13" max="13" width="14" style="2" customWidth="1"/>
    <col min="14" max="14" width="10.88671875" style="2" customWidth="1"/>
    <col min="15" max="15" width="14.44140625" style="2" customWidth="1"/>
    <col min="16" max="16" width="15.88671875" style="2" customWidth="1"/>
    <col min="17" max="17" width="13.5546875" style="2" customWidth="1"/>
    <col min="18" max="18" width="16.109375" style="2" customWidth="1"/>
    <col min="19" max="19" width="7.6640625" style="2" customWidth="1"/>
    <col min="20" max="20" width="6.88671875" style="2" customWidth="1"/>
    <col min="21" max="21" width="7.33203125" style="2" customWidth="1"/>
    <col min="22" max="22" width="5.5546875" style="2" customWidth="1"/>
  </cols>
  <sheetData>
    <row r="1" spans="1:22" s="5" customFormat="1" ht="15.75" customHeight="1" x14ac:dyDescent="0.3">
      <c r="A1" s="17"/>
      <c r="B1" s="17"/>
      <c r="C1" s="16"/>
      <c r="E1" s="6"/>
      <c r="F1" s="6"/>
      <c r="G1" s="6"/>
      <c r="H1" s="6"/>
      <c r="I1" s="6"/>
      <c r="S1" s="7"/>
      <c r="T1" s="7"/>
      <c r="U1" s="7"/>
      <c r="V1" s="8" t="s">
        <v>1</v>
      </c>
    </row>
    <row r="2" spans="1:22" s="5" customFormat="1" ht="15.75" customHeight="1" x14ac:dyDescent="0.3">
      <c r="A2" s="18"/>
      <c r="B2" s="18"/>
      <c r="C2" s="16"/>
      <c r="D2" s="6"/>
      <c r="E2" s="6"/>
      <c r="F2" s="6"/>
      <c r="G2" s="6"/>
      <c r="H2" s="6"/>
      <c r="I2" s="6"/>
      <c r="S2" s="7"/>
      <c r="T2" s="7"/>
      <c r="U2" s="7"/>
      <c r="V2" s="8" t="s">
        <v>2</v>
      </c>
    </row>
    <row r="3" spans="1:22" s="5" customFormat="1" ht="15.75" customHeight="1" x14ac:dyDescent="0.3">
      <c r="A3" s="26" t="s">
        <v>146</v>
      </c>
      <c r="B3" s="26"/>
      <c r="C3" s="16"/>
      <c r="D3" s="6"/>
      <c r="E3" s="9"/>
      <c r="F3" s="9"/>
      <c r="G3" s="9"/>
      <c r="H3" s="9"/>
      <c r="I3" s="6"/>
      <c r="S3" s="7"/>
      <c r="T3" s="7"/>
      <c r="U3" s="7"/>
      <c r="V3" s="8" t="s">
        <v>147</v>
      </c>
    </row>
    <row r="4" spans="1:22" s="5" customFormat="1" ht="15.75" customHeight="1" x14ac:dyDescent="0.3">
      <c r="A4" s="18"/>
      <c r="B4" s="18"/>
      <c r="C4" s="16"/>
      <c r="D4" s="6"/>
      <c r="E4" s="6"/>
      <c r="F4" s="6"/>
      <c r="G4" s="6"/>
      <c r="H4" s="6"/>
      <c r="I4" s="6"/>
      <c r="S4" s="7"/>
      <c r="T4" s="7"/>
      <c r="U4" s="7"/>
      <c r="V4" s="8" t="s">
        <v>149</v>
      </c>
    </row>
    <row r="5" spans="1:22" s="5" customFormat="1" ht="15.75" customHeight="1" x14ac:dyDescent="0.3">
      <c r="A5" s="18"/>
      <c r="B5" s="18"/>
      <c r="C5" s="16"/>
      <c r="D5" s="6"/>
      <c r="E5" s="6"/>
      <c r="F5" s="6"/>
      <c r="G5" s="6"/>
      <c r="H5" s="6"/>
      <c r="I5" s="6"/>
      <c r="V5" s="10"/>
    </row>
    <row r="6" spans="1:22" x14ac:dyDescent="0.25">
      <c r="A6" s="35" t="s">
        <v>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3.5" customHeight="1" thickBot="1" x14ac:dyDescent="0.3">
      <c r="A7" s="36" t="s">
        <v>151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1:22" ht="18" customHeight="1" x14ac:dyDescent="0.25">
      <c r="A8" s="37" t="s">
        <v>4</v>
      </c>
      <c r="B8" s="23"/>
      <c r="C8" s="49" t="s">
        <v>5</v>
      </c>
      <c r="D8" s="43" t="s">
        <v>0</v>
      </c>
      <c r="E8" s="44"/>
      <c r="F8" s="44"/>
      <c r="G8" s="44"/>
      <c r="H8" s="45"/>
      <c r="I8" s="49" t="s">
        <v>6</v>
      </c>
      <c r="J8" s="43" t="s">
        <v>7</v>
      </c>
      <c r="K8" s="44"/>
      <c r="L8" s="45"/>
      <c r="M8" s="43" t="s">
        <v>8</v>
      </c>
      <c r="N8" s="44"/>
      <c r="O8" s="45"/>
      <c r="P8" s="43" t="s">
        <v>9</v>
      </c>
      <c r="Q8" s="44"/>
      <c r="R8" s="45"/>
      <c r="S8" s="52" t="s">
        <v>10</v>
      </c>
      <c r="T8" s="53"/>
      <c r="U8" s="49" t="s">
        <v>11</v>
      </c>
      <c r="V8" s="49" t="s">
        <v>12</v>
      </c>
    </row>
    <row r="9" spans="1:22" ht="13.5" customHeight="1" thickBot="1" x14ac:dyDescent="0.3">
      <c r="A9" s="38"/>
      <c r="B9" s="24"/>
      <c r="C9" s="50"/>
      <c r="D9" s="46"/>
      <c r="E9" s="47"/>
      <c r="F9" s="47"/>
      <c r="G9" s="47"/>
      <c r="H9" s="48"/>
      <c r="I9" s="50"/>
      <c r="J9" s="46"/>
      <c r="K9" s="47"/>
      <c r="L9" s="48"/>
      <c r="M9" s="46"/>
      <c r="N9" s="47"/>
      <c r="O9" s="48"/>
      <c r="P9" s="46"/>
      <c r="Q9" s="47"/>
      <c r="R9" s="48"/>
      <c r="S9" s="54"/>
      <c r="T9" s="55"/>
      <c r="U9" s="50"/>
      <c r="V9" s="50"/>
    </row>
    <row r="10" spans="1:22" ht="12.75" customHeight="1" x14ac:dyDescent="0.25">
      <c r="A10" s="38"/>
      <c r="B10" s="24"/>
      <c r="C10" s="50"/>
      <c r="D10" s="4" t="s">
        <v>13</v>
      </c>
      <c r="E10" s="4" t="s">
        <v>13</v>
      </c>
      <c r="F10" s="4" t="s">
        <v>13</v>
      </c>
      <c r="G10" s="4" t="s">
        <v>14</v>
      </c>
      <c r="H10" s="4" t="s">
        <v>14</v>
      </c>
      <c r="I10" s="50"/>
      <c r="J10" s="32" t="s">
        <v>15</v>
      </c>
      <c r="K10" s="32" t="s">
        <v>16</v>
      </c>
      <c r="L10" s="32" t="s">
        <v>17</v>
      </c>
      <c r="M10" s="32" t="s">
        <v>15</v>
      </c>
      <c r="N10" s="32" t="s">
        <v>16</v>
      </c>
      <c r="O10" s="32" t="s">
        <v>17</v>
      </c>
      <c r="P10" s="32" t="s">
        <v>15</v>
      </c>
      <c r="Q10" s="32" t="s">
        <v>16</v>
      </c>
      <c r="R10" s="32" t="s">
        <v>17</v>
      </c>
      <c r="S10" s="32" t="s">
        <v>18</v>
      </c>
      <c r="T10" s="32" t="s">
        <v>19</v>
      </c>
      <c r="U10" s="50"/>
      <c r="V10" s="50"/>
    </row>
    <row r="11" spans="1:22" x14ac:dyDescent="0.25">
      <c r="A11" s="38"/>
      <c r="B11" s="24"/>
      <c r="C11" s="50"/>
      <c r="D11" s="4" t="s">
        <v>20</v>
      </c>
      <c r="E11" s="4" t="s">
        <v>21</v>
      </c>
      <c r="F11" s="4" t="s">
        <v>22</v>
      </c>
      <c r="G11" s="4" t="s">
        <v>23</v>
      </c>
      <c r="H11" s="4" t="s">
        <v>24</v>
      </c>
      <c r="I11" s="50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50"/>
      <c r="V11" s="50"/>
    </row>
    <row r="12" spans="1:22" ht="13.5" customHeight="1" thickBot="1" x14ac:dyDescent="0.3">
      <c r="A12" s="39"/>
      <c r="B12" s="25"/>
      <c r="C12" s="51"/>
      <c r="D12" s="3" t="s">
        <v>25</v>
      </c>
      <c r="E12" s="3" t="s">
        <v>25</v>
      </c>
      <c r="F12" s="3" t="s">
        <v>25</v>
      </c>
      <c r="G12" s="3" t="s">
        <v>26</v>
      </c>
      <c r="H12" s="3" t="s">
        <v>26</v>
      </c>
      <c r="I12" s="5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51"/>
      <c r="V12" s="51"/>
    </row>
    <row r="13" spans="1:22" ht="13.5" customHeight="1" thickBot="1" x14ac:dyDescent="0.3">
      <c r="A13" s="19"/>
      <c r="B13" s="27"/>
      <c r="C13" s="3"/>
      <c r="D13" s="3">
        <v>1</v>
      </c>
      <c r="E13" s="3">
        <v>2</v>
      </c>
      <c r="F13" s="3">
        <v>3</v>
      </c>
      <c r="G13" s="3">
        <v>4</v>
      </c>
      <c r="H13" s="3">
        <v>5</v>
      </c>
      <c r="I13" s="3">
        <v>6</v>
      </c>
      <c r="J13" s="3">
        <v>7</v>
      </c>
      <c r="K13" s="3">
        <v>8</v>
      </c>
      <c r="L13" s="3">
        <v>9</v>
      </c>
      <c r="M13" s="3">
        <v>10</v>
      </c>
      <c r="N13" s="3">
        <v>11</v>
      </c>
      <c r="O13" s="3">
        <v>12</v>
      </c>
      <c r="P13" s="3">
        <v>13</v>
      </c>
      <c r="Q13" s="3">
        <v>14</v>
      </c>
      <c r="R13" s="3">
        <v>15</v>
      </c>
      <c r="S13" s="3">
        <v>16</v>
      </c>
      <c r="T13" s="3">
        <v>17</v>
      </c>
      <c r="U13" s="3">
        <v>18</v>
      </c>
      <c r="V13" s="3">
        <v>19</v>
      </c>
    </row>
    <row r="14" spans="1:22" x14ac:dyDescent="0.25">
      <c r="A14" s="20" t="s">
        <v>27</v>
      </c>
      <c r="C14" s="14"/>
      <c r="D14" s="12"/>
      <c r="E14" s="12"/>
      <c r="F14" s="12"/>
      <c r="G14" s="12"/>
      <c r="H14" s="12"/>
      <c r="I14" s="13"/>
      <c r="J14" s="11"/>
      <c r="K14" s="11"/>
      <c r="L14" s="11"/>
      <c r="M14" s="11"/>
      <c r="N14" s="11"/>
      <c r="O14" s="11"/>
      <c r="P14" s="11"/>
      <c r="Q14" s="11"/>
      <c r="R14" s="11"/>
      <c r="S14" s="13"/>
      <c r="T14" s="13"/>
      <c r="U14" s="13"/>
      <c r="V14" s="13"/>
    </row>
    <row r="15" spans="1:22" ht="14.4" x14ac:dyDescent="0.3">
      <c r="A15" s="21">
        <v>1</v>
      </c>
      <c r="B15" s="21">
        <f>C15+231</f>
        <v>3252</v>
      </c>
      <c r="C15" s="14" t="s">
        <v>36</v>
      </c>
      <c r="D15" s="12">
        <v>3.5999999046325701</v>
      </c>
      <c r="E15" s="12">
        <v>5.0999999046325701</v>
      </c>
      <c r="F15" s="12">
        <v>3.2999999523162802</v>
      </c>
      <c r="G15" s="12">
        <v>8.5</v>
      </c>
      <c r="H15" s="12">
        <v>-10.9</v>
      </c>
      <c r="I15" s="13">
        <v>69</v>
      </c>
      <c r="J15">
        <f>4159.5831*(0.83)</f>
        <v>3452.4539729999997</v>
      </c>
      <c r="K15">
        <v>0</v>
      </c>
      <c r="L15">
        <f>40899.0129*(0.83)</f>
        <v>33946.180707</v>
      </c>
      <c r="M15">
        <f>30325.12176*(0.83)</f>
        <v>25169.851060800003</v>
      </c>
      <c r="N15">
        <f>0*(0.83)</f>
        <v>0</v>
      </c>
      <c r="O15">
        <f>26600.984*(0.83)</f>
        <v>22078.816719999999</v>
      </c>
      <c r="P15">
        <f>9890286.81492*(0.83)</f>
        <v>8208938.0563836005</v>
      </c>
      <c r="Q15">
        <f>8589.12*(0.83)</f>
        <v>7128.9696000000004</v>
      </c>
      <c r="R15">
        <f>8844402.43512*(0.83)</f>
        <v>7340854.021149599</v>
      </c>
      <c r="S15" s="13">
        <v>744</v>
      </c>
      <c r="T15" s="13">
        <v>0</v>
      </c>
      <c r="U15" s="13">
        <v>744</v>
      </c>
      <c r="V15" s="13">
        <v>0</v>
      </c>
    </row>
    <row r="16" spans="1:22" ht="14.4" x14ac:dyDescent="0.3">
      <c r="A16" s="21">
        <v>2</v>
      </c>
      <c r="B16" s="21">
        <f t="shared" ref="B16:B79" si="0">C16+231</f>
        <v>3253</v>
      </c>
      <c r="C16" s="14" t="s">
        <v>37</v>
      </c>
      <c r="D16" s="12">
        <v>3.5999999046325701</v>
      </c>
      <c r="E16" s="12">
        <v>5.1999998092651403</v>
      </c>
      <c r="F16" s="12">
        <v>3.2999999523162802</v>
      </c>
      <c r="G16" s="12">
        <v>-16</v>
      </c>
      <c r="H16" s="12">
        <v>-10.9</v>
      </c>
      <c r="I16" s="13">
        <v>54</v>
      </c>
      <c r="J16">
        <f>3223.92498*(0.83)</f>
        <v>2675.8577333999997</v>
      </c>
      <c r="K16">
        <v>0</v>
      </c>
      <c r="L16">
        <f>4752.79662*(0.83)</f>
        <v>3944.8211945999997</v>
      </c>
      <c r="M16">
        <f>5845.9398426*(0.83)</f>
        <v>4852.1300693579997</v>
      </c>
      <c r="N16">
        <f>77.014*(0.83)</f>
        <v>63.92161999999999</v>
      </c>
      <c r="O16">
        <f>21483.222*(0.83)</f>
        <v>17831.074260000001</v>
      </c>
      <c r="P16">
        <f>11104652.84874*(0.83)</f>
        <v>9216861.8644541986</v>
      </c>
      <c r="Q16">
        <f>8178.36274*(0.83)</f>
        <v>6788.0410742000004</v>
      </c>
      <c r="R16">
        <f>11652289.03728*(0.83)</f>
        <v>9671399.9009424001</v>
      </c>
      <c r="S16" s="13">
        <v>744</v>
      </c>
      <c r="T16" s="13">
        <v>0</v>
      </c>
      <c r="U16" s="13">
        <v>744</v>
      </c>
      <c r="V16" s="13">
        <v>0</v>
      </c>
    </row>
    <row r="17" spans="1:22" ht="14.4" x14ac:dyDescent="0.3">
      <c r="A17" s="21">
        <v>3</v>
      </c>
      <c r="B17" s="21">
        <f t="shared" si="0"/>
        <v>3254</v>
      </c>
      <c r="C17" s="14" t="s">
        <v>38</v>
      </c>
      <c r="D17" s="12">
        <v>3.5999999046325701</v>
      </c>
      <c r="E17" s="12">
        <v>5.0999999046325701</v>
      </c>
      <c r="F17" s="12">
        <v>3.2999999523162802</v>
      </c>
      <c r="G17" s="12">
        <v>8.3000000000000007</v>
      </c>
      <c r="H17" s="12">
        <v>-10.9</v>
      </c>
      <c r="I17" s="13">
        <v>117</v>
      </c>
      <c r="J17">
        <f>7010.70022*(0.83)</f>
        <v>5818.8811825999992</v>
      </c>
      <c r="K17">
        <v>0</v>
      </c>
      <c r="L17">
        <f>11419.49108*(0.83)</f>
        <v>9478.1775963999989</v>
      </c>
      <c r="M17">
        <f>11647.8809016*(0.83)</f>
        <v>9667.7411483279993</v>
      </c>
      <c r="N17">
        <f>0.35*(0.83)</f>
        <v>0.29049999999999998</v>
      </c>
      <c r="O17">
        <f>45489.174*(0.83)</f>
        <v>37756.01442</v>
      </c>
      <c r="P17">
        <f>12351476.112*(0.83)</f>
        <v>10251725.17296</v>
      </c>
      <c r="Q17">
        <f>6413.9772*(0.83)</f>
        <v>5323.6010759999999</v>
      </c>
      <c r="R17">
        <f>8960756.5218*(0.83)</f>
        <v>7437427.913094</v>
      </c>
      <c r="S17" s="13">
        <v>744</v>
      </c>
      <c r="T17" s="13">
        <v>0</v>
      </c>
      <c r="U17" s="13">
        <v>744</v>
      </c>
      <c r="V17" s="13">
        <v>0</v>
      </c>
    </row>
    <row r="18" spans="1:22" ht="14.4" x14ac:dyDescent="0.3">
      <c r="A18" s="21">
        <v>4</v>
      </c>
      <c r="B18" s="21">
        <f t="shared" si="0"/>
        <v>3256</v>
      </c>
      <c r="C18" s="14" t="s">
        <v>39</v>
      </c>
      <c r="D18" s="12">
        <v>3.5999999046325701</v>
      </c>
      <c r="E18" s="12">
        <v>5.5</v>
      </c>
      <c r="F18" s="12">
        <v>3.2999999523162802</v>
      </c>
      <c r="G18" s="12">
        <v>-16</v>
      </c>
      <c r="H18" s="12">
        <v>-10.9</v>
      </c>
      <c r="I18" s="13">
        <v>46</v>
      </c>
      <c r="J18">
        <f>1983.6404*(0.83)</f>
        <v>1646.4215319999998</v>
      </c>
      <c r="K18">
        <v>0</v>
      </c>
      <c r="L18">
        <f>4222.32028*(0.83)</f>
        <v>3504.5258323999997</v>
      </c>
      <c r="M18">
        <f>4897.8915248*(0.83)</f>
        <v>4065.2499655839993</v>
      </c>
      <c r="N18">
        <f>23.402*(0.83)</f>
        <v>19.423659999999998</v>
      </c>
      <c r="O18">
        <f>18451.436*(0.83)</f>
        <v>15314.69188</v>
      </c>
      <c r="P18">
        <f>9542903.39904*(0.83)</f>
        <v>7920609.8212032001</v>
      </c>
      <c r="Q18">
        <f>8167.8234*(0.83)</f>
        <v>6779.2934219999997</v>
      </c>
      <c r="R18">
        <f>6710498.9899*(0.83)</f>
        <v>5569714.1616169997</v>
      </c>
      <c r="S18" s="13">
        <v>744</v>
      </c>
      <c r="T18" s="13">
        <v>0</v>
      </c>
      <c r="U18" s="13">
        <v>744</v>
      </c>
      <c r="V18" s="13">
        <v>0</v>
      </c>
    </row>
    <row r="19" spans="1:22" ht="14.4" x14ac:dyDescent="0.3">
      <c r="A19" s="21">
        <v>5</v>
      </c>
      <c r="B19" s="21">
        <f t="shared" si="0"/>
        <v>3258</v>
      </c>
      <c r="C19" s="14" t="s">
        <v>40</v>
      </c>
      <c r="D19" s="12">
        <v>3.5999999046325701</v>
      </c>
      <c r="E19" s="12">
        <v>5.0999999046325701</v>
      </c>
      <c r="F19" s="12">
        <v>3.2999999523162802</v>
      </c>
      <c r="G19" s="12">
        <v>-17</v>
      </c>
      <c r="H19" s="12">
        <v>-10.9</v>
      </c>
      <c r="I19" s="13">
        <v>26</v>
      </c>
      <c r="J19">
        <f>1533.69028*(0.83)</f>
        <v>1272.9629324</v>
      </c>
      <c r="K19">
        <v>0</v>
      </c>
      <c r="L19">
        <f>1897.3488*(0.83)</f>
        <v>1574.7995039999998</v>
      </c>
      <c r="M19">
        <f>1897.3488*(0.83)</f>
        <v>1574.7995039999998</v>
      </c>
      <c r="N19">
        <f>0.31*(0.83)</f>
        <v>0.25729999999999997</v>
      </c>
      <c r="O19">
        <f>9317.496*(0.83)</f>
        <v>7733.5216799999989</v>
      </c>
      <c r="P19">
        <f>9818145.73348*(0.83)</f>
        <v>8149060.9587883987</v>
      </c>
      <c r="Q19">
        <f>10407.65466*(0.83)</f>
        <v>8638.3533678000003</v>
      </c>
      <c r="R19">
        <f>9665301.5168*(0.83)</f>
        <v>8022200.2589439992</v>
      </c>
      <c r="S19" s="13">
        <v>744</v>
      </c>
      <c r="T19" s="13">
        <v>0</v>
      </c>
      <c r="U19" s="13">
        <v>744</v>
      </c>
      <c r="V19" s="13">
        <v>0</v>
      </c>
    </row>
    <row r="20" spans="1:22" ht="14.4" x14ac:dyDescent="0.3">
      <c r="A20" s="21">
        <v>6</v>
      </c>
      <c r="B20" s="21">
        <f t="shared" si="0"/>
        <v>3259</v>
      </c>
      <c r="C20" s="14" t="s">
        <v>41</v>
      </c>
      <c r="D20" s="12">
        <v>3.5999999046325701</v>
      </c>
      <c r="E20" s="12">
        <v>5.1999998092651403</v>
      </c>
      <c r="F20" s="12">
        <v>3.2999999523162802</v>
      </c>
      <c r="G20" s="12">
        <v>-17</v>
      </c>
      <c r="H20" s="12">
        <v>-10.9</v>
      </c>
      <c r="I20" s="13">
        <v>32</v>
      </c>
      <c r="J20">
        <f>1946.91222*(0.83)</f>
        <v>1615.9371425999998</v>
      </c>
      <c r="K20">
        <v>0</v>
      </c>
      <c r="L20">
        <f>2227.90986*(0.83)</f>
        <v>1849.1651838</v>
      </c>
      <c r="M20">
        <f>2628.9336348*(0.83)</f>
        <v>2182.0149168839998</v>
      </c>
      <c r="N20">
        <f>77.66*(0.83)</f>
        <v>64.457799999999992</v>
      </c>
      <c r="O20">
        <f>13326.58*(0.83)</f>
        <v>11061.061399999999</v>
      </c>
      <c r="P20">
        <f>6231289.491*(0.83)</f>
        <v>5171970.2775299996</v>
      </c>
      <c r="Q20">
        <f>13503.6252*(0.83)</f>
        <v>11208.008916000001</v>
      </c>
      <c r="R20">
        <f>7673033.36256*(0.83)</f>
        <v>6368617.6909248</v>
      </c>
      <c r="S20" s="13">
        <v>744</v>
      </c>
      <c r="T20" s="13">
        <v>0</v>
      </c>
      <c r="U20" s="13">
        <v>744</v>
      </c>
      <c r="V20" s="13">
        <v>0</v>
      </c>
    </row>
    <row r="21" spans="1:22" ht="9" customHeight="1" x14ac:dyDescent="0.3">
      <c r="A21"/>
      <c r="B21" s="21"/>
      <c r="C21" s="14"/>
      <c r="D21" s="12"/>
      <c r="E21" s="12"/>
      <c r="F21" s="12"/>
      <c r="G21" s="12"/>
      <c r="H21" s="12"/>
      <c r="I21" s="13"/>
      <c r="J21">
        <f>0*(0.83)</f>
        <v>0</v>
      </c>
      <c r="K21">
        <v>0</v>
      </c>
      <c r="L21">
        <f t="shared" ref="L21:R21" si="1">0*(0.83)</f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 s="13"/>
      <c r="T21" s="13"/>
      <c r="U21" s="13"/>
      <c r="V21" s="13"/>
    </row>
    <row r="22" spans="1:22" ht="14.4" x14ac:dyDescent="0.3">
      <c r="A22" s="21">
        <v>7</v>
      </c>
      <c r="B22" s="21">
        <f t="shared" si="0"/>
        <v>3262</v>
      </c>
      <c r="C22" s="14" t="s">
        <v>42</v>
      </c>
      <c r="D22" s="12">
        <v>3.5999999046325701</v>
      </c>
      <c r="E22" s="12">
        <v>5</v>
      </c>
      <c r="F22" s="12">
        <v>3.2999999523162802</v>
      </c>
      <c r="G22" s="12">
        <v>-15</v>
      </c>
      <c r="H22" s="12">
        <v>-15.7</v>
      </c>
      <c r="I22" s="13">
        <v>64</v>
      </c>
      <c r="J22">
        <f>3858.10128*(0.83)</f>
        <v>3202.2240623999996</v>
      </c>
      <c r="K22">
        <v>0</v>
      </c>
      <c r="L22">
        <f>6363.8784*(0.83)</f>
        <v>5282.0190720000001</v>
      </c>
      <c r="M22">
        <f>6363.8784*(0.83)</f>
        <v>5282.0190720000001</v>
      </c>
      <c r="N22">
        <f>104.896*(0.83)</f>
        <v>87.063679999999991</v>
      </c>
      <c r="O22">
        <f>26042.332*(0.83)</f>
        <v>21615.135559999999</v>
      </c>
      <c r="P22">
        <f>9231500.93294*(0.83)</f>
        <v>7662145.7743402002</v>
      </c>
      <c r="Q22">
        <f>5951.064*(0.83)</f>
        <v>4939.3831200000004</v>
      </c>
      <c r="R22">
        <f>8781887.8461*(0.83)</f>
        <v>7288966.9122630004</v>
      </c>
      <c r="S22" s="13">
        <v>744</v>
      </c>
      <c r="T22" s="13">
        <v>0</v>
      </c>
      <c r="U22" s="13">
        <v>744</v>
      </c>
      <c r="V22" s="13">
        <v>0</v>
      </c>
    </row>
    <row r="23" spans="1:22" ht="14.4" x14ac:dyDescent="0.3">
      <c r="A23" s="21">
        <v>8</v>
      </c>
      <c r="B23" s="21">
        <f t="shared" si="0"/>
        <v>3263</v>
      </c>
      <c r="C23" s="14" t="s">
        <v>43</v>
      </c>
      <c r="D23" s="12">
        <v>3.5999999046325701</v>
      </c>
      <c r="E23" s="12">
        <v>5.6999998092651403</v>
      </c>
      <c r="F23" s="12">
        <v>3.2999999523162802</v>
      </c>
      <c r="G23" s="12">
        <v>4.3</v>
      </c>
      <c r="H23" s="12">
        <v>-15.7</v>
      </c>
      <c r="I23" s="13">
        <v>34</v>
      </c>
      <c r="J23">
        <f>2093.348202408*(0.83)</f>
        <v>1737.4790079986403</v>
      </c>
      <c r="K23">
        <v>0</v>
      </c>
      <c r="L23">
        <f>1970.93412*(0.83)</f>
        <v>1635.8753196</v>
      </c>
      <c r="M23">
        <f>1951.2247788*(0.83)</f>
        <v>1619.5165664040001</v>
      </c>
      <c r="N23">
        <f>24.684*(0.83)</f>
        <v>20.487719999999999</v>
      </c>
      <c r="O23">
        <f>14030.226*(0.83)</f>
        <v>11645.087579999999</v>
      </c>
      <c r="P23">
        <f>3027360.41568*(0.83)</f>
        <v>2512709.1450144001</v>
      </c>
      <c r="Q23">
        <f>6549.45408*(0.83)</f>
        <v>5436.0468863999995</v>
      </c>
      <c r="R23">
        <f>2359903.60032*(0.83)</f>
        <v>1958719.9882655996</v>
      </c>
      <c r="S23" s="13">
        <v>744</v>
      </c>
      <c r="T23" s="13">
        <v>0</v>
      </c>
      <c r="U23" s="13">
        <v>744</v>
      </c>
      <c r="V23" s="13">
        <v>0</v>
      </c>
    </row>
    <row r="24" spans="1:22" ht="14.4" x14ac:dyDescent="0.3">
      <c r="A24" s="21">
        <v>9</v>
      </c>
      <c r="B24" s="21">
        <f t="shared" si="0"/>
        <v>3266</v>
      </c>
      <c r="C24" s="14" t="s">
        <v>44</v>
      </c>
      <c r="D24" s="12">
        <v>3.5999999046325701</v>
      </c>
      <c r="E24" s="12">
        <v>5.9000000953674299</v>
      </c>
      <c r="F24" s="12">
        <v>3.2999999523162802</v>
      </c>
      <c r="G24" s="12">
        <v>-15</v>
      </c>
      <c r="H24" s="12">
        <v>-15.7</v>
      </c>
      <c r="I24" s="13">
        <v>25</v>
      </c>
      <c r="J24">
        <f>1474.69294*(0.83)</f>
        <v>1223.9951401999999</v>
      </c>
      <c r="K24">
        <v>0</v>
      </c>
      <c r="L24">
        <f>2052.4077*(0.83)</f>
        <v>1703.4983910000001</v>
      </c>
      <c r="M24">
        <f>2072.931777*(0.83)</f>
        <v>1720.53337491</v>
      </c>
      <c r="N24">
        <f>0.366*(0.83)</f>
        <v>0.30377999999999999</v>
      </c>
      <c r="O24">
        <f>9958.964*(0.83)</f>
        <v>8265.9401199999993</v>
      </c>
      <c r="P24">
        <f>5189688.74842*(0.83)</f>
        <v>4307441.6611885997</v>
      </c>
      <c r="Q24">
        <f>6873.5079*(0.83)</f>
        <v>5705.0115569999998</v>
      </c>
      <c r="R24">
        <f>4821066.7056*(0.83)</f>
        <v>4001485.3656479996</v>
      </c>
      <c r="S24" s="13">
        <v>744</v>
      </c>
      <c r="T24" s="13">
        <v>0</v>
      </c>
      <c r="U24" s="13">
        <v>744</v>
      </c>
      <c r="V24" s="13">
        <v>0</v>
      </c>
    </row>
    <row r="25" spans="1:22" ht="14.4" x14ac:dyDescent="0.3">
      <c r="A25" s="21">
        <v>10</v>
      </c>
      <c r="B25" s="21">
        <f t="shared" si="0"/>
        <v>3269</v>
      </c>
      <c r="C25" s="14" t="s">
        <v>45</v>
      </c>
      <c r="D25" s="12">
        <v>3.5999999046325701</v>
      </c>
      <c r="E25" s="12">
        <v>5.6999998092651403</v>
      </c>
      <c r="F25" s="12">
        <v>3.2999999523162802</v>
      </c>
      <c r="G25" s="12">
        <v>-17</v>
      </c>
      <c r="H25" s="12">
        <v>-15.7</v>
      </c>
      <c r="I25" s="13">
        <v>73</v>
      </c>
      <c r="J25">
        <f>4365.38218*(0.83)</f>
        <v>3623.2672094000004</v>
      </c>
      <c r="K25">
        <v>0</v>
      </c>
      <c r="L25">
        <f>6570.57524*(0.83)</f>
        <v>5453.5774492</v>
      </c>
      <c r="M25">
        <f>6767.6924972*(0.83)</f>
        <v>5617.1847726760006</v>
      </c>
      <c r="N25">
        <f>74.92*(0.83)</f>
        <v>62.183599999999998</v>
      </c>
      <c r="O25">
        <f>29518.18*(0.83)</f>
        <v>24500.089400000001</v>
      </c>
      <c r="P25">
        <f>7491287.64578*(0.83)</f>
        <v>6217768.7459974</v>
      </c>
      <c r="Q25">
        <f>10284.26148*(0.83)</f>
        <v>8535.9370283999997</v>
      </c>
      <c r="R25">
        <f>10028482.64328*(0.83)</f>
        <v>8323640.5939224008</v>
      </c>
      <c r="S25" s="13">
        <v>744</v>
      </c>
      <c r="T25" s="13">
        <v>0</v>
      </c>
      <c r="U25" s="13">
        <v>744</v>
      </c>
      <c r="V25" s="13">
        <v>0</v>
      </c>
    </row>
    <row r="26" spans="1:22" ht="9" customHeight="1" x14ac:dyDescent="0.3">
      <c r="A26"/>
      <c r="B26" s="21"/>
      <c r="C26" s="14"/>
      <c r="D26" s="12"/>
      <c r="E26" s="12"/>
      <c r="F26" s="12"/>
      <c r="G26" s="12"/>
      <c r="H26" s="12"/>
      <c r="I26" s="13"/>
      <c r="J26">
        <f>0*(0.83)</f>
        <v>0</v>
      </c>
      <c r="K26">
        <v>0</v>
      </c>
      <c r="L26">
        <f t="shared" ref="L26:R26" si="2">0*(0.83)</f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 s="13"/>
      <c r="T26" s="13"/>
      <c r="U26" s="13"/>
      <c r="V26" s="13"/>
    </row>
    <row r="27" spans="1:22" ht="14.4" x14ac:dyDescent="0.3">
      <c r="A27" s="21">
        <v>11</v>
      </c>
      <c r="B27" s="21">
        <f t="shared" si="0"/>
        <v>3272</v>
      </c>
      <c r="C27" s="14" t="s">
        <v>46</v>
      </c>
      <c r="D27" s="12">
        <v>3.4000000953674299</v>
      </c>
      <c r="E27" s="12">
        <v>5.1999998092651403</v>
      </c>
      <c r="F27" s="12">
        <v>3.2999999523162802</v>
      </c>
      <c r="G27" s="12">
        <v>-16</v>
      </c>
      <c r="H27" s="12">
        <v>-14.7</v>
      </c>
      <c r="I27" s="13">
        <v>112</v>
      </c>
      <c r="J27">
        <f>6756.06746*(0.83)</f>
        <v>5607.5359917999995</v>
      </c>
      <c r="K27">
        <v>0</v>
      </c>
      <c r="L27">
        <f>6686.41728*(0.83)</f>
        <v>5549.7263423999993</v>
      </c>
      <c r="M27">
        <f>7020.738144*(0.83)</f>
        <v>5827.2126595199998</v>
      </c>
      <c r="N27">
        <f>54.984*(0.83)</f>
        <v>45.636719999999997</v>
      </c>
      <c r="O27">
        <f>39283.662*(0.83)</f>
        <v>32605.439459999994</v>
      </c>
      <c r="P27">
        <f>12451193.91958*(0.83)</f>
        <v>10334490.953251401</v>
      </c>
      <c r="Q27">
        <f>11106.30168*(0.83)</f>
        <v>9218.2303943999977</v>
      </c>
      <c r="R27">
        <f>14396753.49896*(0.83)</f>
        <v>11949305.404136799</v>
      </c>
      <c r="S27" s="13">
        <v>744</v>
      </c>
      <c r="T27" s="13">
        <v>0</v>
      </c>
      <c r="U27" s="13">
        <v>744</v>
      </c>
      <c r="V27" s="13">
        <v>0</v>
      </c>
    </row>
    <row r="28" spans="1:22" ht="14.4" x14ac:dyDescent="0.3">
      <c r="A28" s="21">
        <v>12</v>
      </c>
      <c r="B28" s="21">
        <f t="shared" si="0"/>
        <v>3273</v>
      </c>
      <c r="C28" s="14" t="s">
        <v>47</v>
      </c>
      <c r="D28" s="12">
        <v>3.4000000953674299</v>
      </c>
      <c r="E28" s="12">
        <v>5.6999998092651403</v>
      </c>
      <c r="F28" s="12">
        <v>3.2999999523162802</v>
      </c>
      <c r="G28" s="12">
        <v>10.4</v>
      </c>
      <c r="H28" s="12">
        <v>-14.7</v>
      </c>
      <c r="I28" s="13">
        <v>121</v>
      </c>
      <c r="J28">
        <f>7254.35646*(0.83)</f>
        <v>6021.1158617999999</v>
      </c>
      <c r="K28">
        <v>0</v>
      </c>
      <c r="L28">
        <f>8450.95134*(0.83)</f>
        <v>7014.2896122000011</v>
      </c>
      <c r="M28">
        <f>7352.3276658*(0.83)</f>
        <v>6102.4319626140004</v>
      </c>
      <c r="N28">
        <f>66.608*(0.83)</f>
        <v>55.284640000000003</v>
      </c>
      <c r="O28">
        <f>42807.564*(0.83)</f>
        <v>35530.278119999995</v>
      </c>
      <c r="P28">
        <f>13781977.662*(0.83)</f>
        <v>11439041.45946</v>
      </c>
      <c r="Q28">
        <f>8378.54856*(0.83)</f>
        <v>6954.1953048000005</v>
      </c>
      <c r="R28">
        <f>13101530.541*(0.83)</f>
        <v>10874270.349030001</v>
      </c>
      <c r="S28" s="13">
        <v>744</v>
      </c>
      <c r="T28" s="13">
        <v>0</v>
      </c>
      <c r="U28" s="13">
        <v>744</v>
      </c>
      <c r="V28" s="13">
        <v>0</v>
      </c>
    </row>
    <row r="29" spans="1:22" ht="14.4" x14ac:dyDescent="0.3">
      <c r="A29" s="21">
        <v>13</v>
      </c>
      <c r="B29" s="21">
        <f t="shared" si="0"/>
        <v>3274</v>
      </c>
      <c r="C29" s="14" t="s">
        <v>48</v>
      </c>
      <c r="D29" s="12">
        <v>3.4000000953674299</v>
      </c>
      <c r="E29" s="12">
        <v>5.5</v>
      </c>
      <c r="F29" s="12">
        <v>3.2999999523162802</v>
      </c>
      <c r="G29" s="12">
        <v>-16</v>
      </c>
      <c r="H29" s="12">
        <v>-14.7</v>
      </c>
      <c r="I29" s="13">
        <v>109</v>
      </c>
      <c r="J29">
        <f>6541.54808*(0.83)</f>
        <v>5429.4849063999991</v>
      </c>
      <c r="K29">
        <v>0</v>
      </c>
      <c r="L29">
        <f>8429.83*(0.83)</f>
        <v>6996.7588999999998</v>
      </c>
      <c r="M29">
        <f>10284.3926*(0.83)</f>
        <v>8536.0458579999995</v>
      </c>
      <c r="N29">
        <f>54.866*(0.83)</f>
        <v>45.538779999999996</v>
      </c>
      <c r="O29">
        <f>33558.242*(0.83)</f>
        <v>27853.340859999997</v>
      </c>
      <c r="P29">
        <f>12138345.11*(0.83)</f>
        <v>10074826.441299999</v>
      </c>
      <c r="Q29">
        <f>8726.58546*(0.83)</f>
        <v>7243.0659317999998</v>
      </c>
      <c r="R29">
        <f>14699534.55828*(0.83)</f>
        <v>12200613.683372399</v>
      </c>
      <c r="S29" s="13">
        <v>744</v>
      </c>
      <c r="T29" s="13">
        <v>0</v>
      </c>
      <c r="U29" s="13">
        <v>744</v>
      </c>
      <c r="V29" s="13">
        <v>0</v>
      </c>
    </row>
    <row r="30" spans="1:22" ht="14.4" x14ac:dyDescent="0.3">
      <c r="A30" s="21">
        <v>14</v>
      </c>
      <c r="B30" s="21">
        <f t="shared" si="0"/>
        <v>3275</v>
      </c>
      <c r="C30" s="14" t="s">
        <v>49</v>
      </c>
      <c r="D30" s="12">
        <v>3.4000000953674299</v>
      </c>
      <c r="E30" s="12">
        <v>5</v>
      </c>
      <c r="F30" s="12">
        <v>3.2999999523162802</v>
      </c>
      <c r="G30" s="12">
        <v>-9</v>
      </c>
      <c r="H30" s="12">
        <v>-14.7</v>
      </c>
      <c r="I30" s="13">
        <v>48</v>
      </c>
      <c r="J30">
        <f>2914.6851*(0.83)</f>
        <v>2419.1886329999998</v>
      </c>
      <c r="K30">
        <v>0</v>
      </c>
      <c r="L30">
        <f>2554.1055*(0.83)</f>
        <v>2119.9075649999995</v>
      </c>
      <c r="M30">
        <f>2375.318115*(0.83)</f>
        <v>1971.5140354499999</v>
      </c>
      <c r="N30">
        <f>0.346*(0.83)</f>
        <v>0.28717999999999999</v>
      </c>
      <c r="O30">
        <f>17515.332*(0.83)</f>
        <v>14537.725559999999</v>
      </c>
      <c r="P30">
        <f>9495727.24392*(0.83)</f>
        <v>7881453.6124535995</v>
      </c>
      <c r="Q30">
        <f>9073.6104*(0.83)</f>
        <v>7531.0966320000007</v>
      </c>
      <c r="R30">
        <f>12888572.55216*(0.83)</f>
        <v>10697515.218292799</v>
      </c>
      <c r="S30" s="13">
        <v>744</v>
      </c>
      <c r="T30" s="13">
        <v>0</v>
      </c>
      <c r="U30" s="13">
        <v>744</v>
      </c>
      <c r="V30" s="13">
        <v>0</v>
      </c>
    </row>
    <row r="31" spans="1:22" ht="14.4" x14ac:dyDescent="0.3">
      <c r="A31" s="21">
        <v>15</v>
      </c>
      <c r="B31" s="21">
        <f t="shared" si="0"/>
        <v>3276</v>
      </c>
      <c r="C31" s="14" t="s">
        <v>50</v>
      </c>
      <c r="D31" s="12">
        <v>3.4000000953674299</v>
      </c>
      <c r="E31" s="12">
        <v>5</v>
      </c>
      <c r="F31" s="12">
        <v>3.2999999523162802</v>
      </c>
      <c r="G31" s="12">
        <v>-16</v>
      </c>
      <c r="H31" s="12">
        <v>-14.7</v>
      </c>
      <c r="I31" s="13">
        <v>26</v>
      </c>
      <c r="J31">
        <f>1579.15612*(0.83)</f>
        <v>1310.6995796000001</v>
      </c>
      <c r="K31">
        <v>0</v>
      </c>
      <c r="L31">
        <f>2393.15412*(0.83)</f>
        <v>1986.3179196000001</v>
      </c>
      <c r="M31">
        <f>2464.9487436*(0.83)</f>
        <v>2045.9074571880003</v>
      </c>
      <c r="N31">
        <f>54.61*(0.83)</f>
        <v>45.326299999999996</v>
      </c>
      <c r="O31">
        <f>18956.644*(0.83)</f>
        <v>15734.014519999999</v>
      </c>
      <c r="P31">
        <f>8463931.01736*(0.83)</f>
        <v>7025062.7444087993</v>
      </c>
      <c r="Q31">
        <f>9200.1528*(0.83)</f>
        <v>7636.1268239999999</v>
      </c>
      <c r="R31">
        <f>11496474.79596*(0.83)</f>
        <v>9542074.0806468017</v>
      </c>
      <c r="S31" s="13">
        <v>744</v>
      </c>
      <c r="T31" s="13">
        <v>0</v>
      </c>
      <c r="U31" s="13">
        <v>744</v>
      </c>
      <c r="V31" s="13">
        <v>0</v>
      </c>
    </row>
    <row r="32" spans="1:22" ht="9" customHeight="1" x14ac:dyDescent="0.3">
      <c r="A32"/>
      <c r="B32" s="21"/>
      <c r="C32" s="14"/>
      <c r="D32" s="12"/>
      <c r="E32" s="12"/>
      <c r="F32" s="12"/>
      <c r="G32" s="12"/>
      <c r="H32" s="12"/>
      <c r="I32" s="13"/>
      <c r="J32">
        <f>0*(0.83)</f>
        <v>0</v>
      </c>
      <c r="K32">
        <v>0</v>
      </c>
      <c r="L32">
        <f t="shared" ref="L32:R32" si="3">0*(0.83)</f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 s="13"/>
      <c r="T32" s="13"/>
      <c r="U32" s="13"/>
      <c r="V32" s="13"/>
    </row>
    <row r="33" spans="1:22" ht="14.4" x14ac:dyDescent="0.3">
      <c r="A33" s="21">
        <v>16</v>
      </c>
      <c r="B33" s="21">
        <f t="shared" si="0"/>
        <v>3283</v>
      </c>
      <c r="C33" s="14" t="s">
        <v>51</v>
      </c>
      <c r="D33" s="12">
        <v>3.7999999523162802</v>
      </c>
      <c r="E33" s="12">
        <v>4.0999999046325701</v>
      </c>
      <c r="F33" s="12">
        <v>3.2999999523162802</v>
      </c>
      <c r="G33" s="12">
        <v>9.1999999999999993</v>
      </c>
      <c r="H33" s="12">
        <v>-7.6</v>
      </c>
      <c r="I33" s="13">
        <v>78</v>
      </c>
      <c r="J33">
        <f>4681.65844*(0.83)</f>
        <v>3885.7765052</v>
      </c>
      <c r="K33">
        <v>0</v>
      </c>
      <c r="L33">
        <f>6370.91664*(0.83)</f>
        <v>5287.8608112000002</v>
      </c>
      <c r="M33">
        <f>5861.2433088*(0.83)</f>
        <v>4864.8319463040007</v>
      </c>
      <c r="N33">
        <f>0.37*(0.83)</f>
        <v>0.30709999999999998</v>
      </c>
      <c r="O33">
        <f>29312.36*(0.83)</f>
        <v>24329.2588</v>
      </c>
      <c r="P33">
        <f>14549394.20022*(0.83)</f>
        <v>12075997.1861826</v>
      </c>
      <c r="Q33">
        <f>8702.1158*(0.83)</f>
        <v>7222.7561139999989</v>
      </c>
      <c r="R33">
        <f>18087906.87804*(0.83)</f>
        <v>15012962.708773198</v>
      </c>
      <c r="S33" s="13">
        <v>744</v>
      </c>
      <c r="T33" s="13">
        <v>0</v>
      </c>
      <c r="U33" s="13">
        <v>744</v>
      </c>
      <c r="V33" s="13">
        <v>0</v>
      </c>
    </row>
    <row r="34" spans="1:22" ht="14.4" x14ac:dyDescent="0.3">
      <c r="A34" s="21">
        <v>17</v>
      </c>
      <c r="B34" s="21">
        <f t="shared" si="0"/>
        <v>3284</v>
      </c>
      <c r="C34" s="14" t="s">
        <v>52</v>
      </c>
      <c r="D34" s="12">
        <v>3.7999999523162802</v>
      </c>
      <c r="E34" s="12">
        <v>4.0999999046325701</v>
      </c>
      <c r="F34" s="12">
        <v>3.2999999523162802</v>
      </c>
      <c r="G34" s="12">
        <v>-6.3</v>
      </c>
      <c r="H34" s="12">
        <v>-7.6</v>
      </c>
      <c r="I34" s="13">
        <v>78</v>
      </c>
      <c r="J34">
        <f>4957.1542*(0.83)</f>
        <v>4114.437985999999</v>
      </c>
      <c r="K34">
        <v>0</v>
      </c>
      <c r="L34">
        <f>5948.58504*(0.83)</f>
        <v>4937.3255831999986</v>
      </c>
      <c r="M34">
        <f>6602.9293944*(0.83)</f>
        <v>5480.4313973519993</v>
      </c>
      <c r="N34">
        <f>80.01*(0.83)</f>
        <v>66.408299999999997</v>
      </c>
      <c r="O34">
        <f>29855.666*(0.83)</f>
        <v>24780.20278</v>
      </c>
      <c r="P34">
        <f>13059789.8156*(0.83)</f>
        <v>10839625.546948001</v>
      </c>
      <c r="Q34">
        <f>10783.57512*(0.83)</f>
        <v>8950.3673495999992</v>
      </c>
      <c r="R34">
        <f>10099168.9132*(0.83)</f>
        <v>8382310.1979559995</v>
      </c>
      <c r="S34" s="13">
        <v>744</v>
      </c>
      <c r="T34" s="13">
        <v>0</v>
      </c>
      <c r="U34" s="13">
        <v>744</v>
      </c>
      <c r="V34" s="13">
        <v>0</v>
      </c>
    </row>
    <row r="35" spans="1:22" ht="14.4" x14ac:dyDescent="0.3">
      <c r="A35" s="21">
        <v>18</v>
      </c>
      <c r="B35" s="21">
        <f t="shared" si="0"/>
        <v>3286</v>
      </c>
      <c r="C35" s="14" t="s">
        <v>53</v>
      </c>
      <c r="D35" s="12">
        <v>3.7999999523162802</v>
      </c>
      <c r="E35" s="12">
        <v>4.9000000953674299</v>
      </c>
      <c r="F35" s="12">
        <v>3.2999999523162802</v>
      </c>
      <c r="G35" s="12">
        <v>6.2</v>
      </c>
      <c r="H35" s="12">
        <v>-7.6</v>
      </c>
      <c r="I35" s="13">
        <v>79</v>
      </c>
      <c r="J35">
        <f>4739.15228*(0.83)</f>
        <v>3933.4963923999999</v>
      </c>
      <c r="K35">
        <v>0</v>
      </c>
      <c r="L35">
        <f>4983.43848*(0.83)</f>
        <v>4136.2539383999992</v>
      </c>
      <c r="M35">
        <f>4684.4321712*(0.83)</f>
        <v>3888.0787020959997</v>
      </c>
      <c r="N35">
        <f>407.16*(0.83)</f>
        <v>337.94279999999998</v>
      </c>
      <c r="O35">
        <f>10307.92*(0.83)</f>
        <v>8555.5735999999997</v>
      </c>
      <c r="P35">
        <f>13360686.57912*(0.83)</f>
        <v>11089369.8606696</v>
      </c>
      <c r="Q35">
        <f>10405.68552*(0.83)</f>
        <v>8636.7189816000009</v>
      </c>
      <c r="R35">
        <f>13137079.65024*(0.83)</f>
        <v>10903776.109699201</v>
      </c>
      <c r="S35" s="13">
        <v>744</v>
      </c>
      <c r="T35" s="13">
        <v>0</v>
      </c>
      <c r="U35" s="13">
        <v>744</v>
      </c>
      <c r="V35" s="13">
        <v>0</v>
      </c>
    </row>
    <row r="36" spans="1:22" ht="14.4" x14ac:dyDescent="0.3">
      <c r="A36" s="21">
        <v>19</v>
      </c>
      <c r="B36" s="21">
        <f t="shared" si="0"/>
        <v>3287</v>
      </c>
      <c r="C36" s="14" t="s">
        <v>54</v>
      </c>
      <c r="D36" s="12">
        <v>3.7999999523162802</v>
      </c>
      <c r="E36" s="12">
        <v>5.0999999046325701</v>
      </c>
      <c r="F36" s="12">
        <v>3.2999999523162802</v>
      </c>
      <c r="G36" s="12">
        <v>10.7</v>
      </c>
      <c r="H36" s="12">
        <v>-7.6</v>
      </c>
      <c r="I36" s="13">
        <v>119</v>
      </c>
      <c r="J36">
        <f>7148.30054*(0.83)</f>
        <v>5933.0894481999994</v>
      </c>
      <c r="K36">
        <v>0</v>
      </c>
      <c r="L36">
        <f>13338.58142*(0.83)</f>
        <v>11071.022578599999</v>
      </c>
      <c r="M36">
        <f>13872.1246768*(0.83)</f>
        <v>11513.863481744</v>
      </c>
      <c r="N36">
        <f>51.49*(0.83)</f>
        <v>42.736699999999999</v>
      </c>
      <c r="O36">
        <f>41921.416*(0.83)</f>
        <v>34794.775279999994</v>
      </c>
      <c r="P36">
        <f>15509518.6158*(0.83)</f>
        <v>12872900.451114001</v>
      </c>
      <c r="Q36">
        <f>8372.19444*(0.83)</f>
        <v>6948.9213851999993</v>
      </c>
      <c r="R36">
        <f>14673553.0136*(0.83)</f>
        <v>12179049.001288</v>
      </c>
      <c r="S36" s="13">
        <v>744</v>
      </c>
      <c r="T36" s="13">
        <v>0</v>
      </c>
      <c r="U36" s="13">
        <v>744</v>
      </c>
      <c r="V36" s="13">
        <v>0</v>
      </c>
    </row>
    <row r="37" spans="1:22" ht="14.4" x14ac:dyDescent="0.3">
      <c r="A37" s="21">
        <v>20</v>
      </c>
      <c r="B37" s="21">
        <f t="shared" si="0"/>
        <v>3288</v>
      </c>
      <c r="C37" s="14" t="s">
        <v>55</v>
      </c>
      <c r="D37" s="12">
        <v>3.7999999523162802</v>
      </c>
      <c r="E37" s="12">
        <v>5.5999999046325701</v>
      </c>
      <c r="F37" s="12">
        <v>3.2999999523162802</v>
      </c>
      <c r="G37" s="12">
        <v>9.6</v>
      </c>
      <c r="H37" s="12">
        <v>-7.6</v>
      </c>
      <c r="I37" s="13">
        <v>83</v>
      </c>
      <c r="J37">
        <f>5018.80328*(0.83)</f>
        <v>4165.6067223999999</v>
      </c>
      <c r="K37">
        <v>0</v>
      </c>
      <c r="L37">
        <f>8123.21768*(0.83)</f>
        <v>6742.2706744000006</v>
      </c>
      <c r="M37">
        <f>8285.6820336*(0.83)</f>
        <v>6877.116087888</v>
      </c>
      <c r="N37">
        <f>0.364*(0.83)</f>
        <v>0.30212</v>
      </c>
      <c r="O37">
        <f>31934.592*(0.83)</f>
        <v>26505.711359999998</v>
      </c>
      <c r="P37">
        <f>12483648.46542*(0.83)</f>
        <v>10361428.2262986</v>
      </c>
      <c r="Q37">
        <f>10092.90906*(0.83)</f>
        <v>8377.1145197999977</v>
      </c>
      <c r="R37">
        <f>12363232.41984*(0.83)</f>
        <v>10261482.9084672</v>
      </c>
      <c r="S37" s="13">
        <v>744</v>
      </c>
      <c r="T37" s="13">
        <v>0</v>
      </c>
      <c r="U37" s="13">
        <v>744</v>
      </c>
      <c r="V37" s="13">
        <v>0</v>
      </c>
    </row>
    <row r="38" spans="1:22" ht="9" customHeight="1" x14ac:dyDescent="0.3">
      <c r="A38"/>
      <c r="B38" s="21"/>
      <c r="C38" s="14"/>
      <c r="D38" s="12"/>
      <c r="E38" s="12"/>
      <c r="F38" s="12"/>
      <c r="G38" s="12"/>
      <c r="H38" s="12"/>
      <c r="I38" s="13"/>
      <c r="J38">
        <f>0*(0.83)</f>
        <v>0</v>
      </c>
      <c r="K38">
        <v>0</v>
      </c>
      <c r="L38">
        <f t="shared" ref="L38:R38" si="4">0*(0.83)</f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 s="13"/>
      <c r="T38" s="13"/>
      <c r="U38" s="13"/>
      <c r="V38" s="13"/>
    </row>
    <row r="39" spans="1:22" ht="14.4" x14ac:dyDescent="0.3">
      <c r="A39" s="21">
        <v>21</v>
      </c>
      <c r="B39" s="21">
        <f t="shared" si="0"/>
        <v>3302</v>
      </c>
      <c r="C39" s="14" t="s">
        <v>56</v>
      </c>
      <c r="D39" s="12">
        <v>3.7999999523162802</v>
      </c>
      <c r="E39" s="12">
        <v>5</v>
      </c>
      <c r="F39" s="12">
        <v>3.2999999523162802</v>
      </c>
      <c r="G39" s="12">
        <v>-9.4</v>
      </c>
      <c r="H39" s="12">
        <v>1.7</v>
      </c>
      <c r="I39" s="13">
        <v>37</v>
      </c>
      <c r="J39">
        <f>2209.2429*(0.83)</f>
        <v>1833.671607</v>
      </c>
      <c r="K39">
        <v>0</v>
      </c>
      <c r="L39">
        <f>2459.7756*(0.83)</f>
        <v>2041.6137480000002</v>
      </c>
      <c r="M39">
        <f>2484.373356*(0.83)</f>
        <v>2062.0298854800003</v>
      </c>
      <c r="N39">
        <f>75.398*(0.83)</f>
        <v>62.580339999999993</v>
      </c>
      <c r="O39">
        <f>15427.096*(0.83)</f>
        <v>12804.489679999999</v>
      </c>
      <c r="P39">
        <f>7937808.65636*(0.83)</f>
        <v>6588381.1847787993</v>
      </c>
      <c r="Q39">
        <f>10341.5202*(0.83)</f>
        <v>8583.4617659999985</v>
      </c>
      <c r="R39">
        <f>6449660.19522*(0.83)</f>
        <v>5353217.9620325994</v>
      </c>
      <c r="S39" s="13">
        <v>744</v>
      </c>
      <c r="T39" s="13">
        <v>0</v>
      </c>
      <c r="U39" s="13">
        <v>744</v>
      </c>
      <c r="V39" s="13">
        <v>0</v>
      </c>
    </row>
    <row r="40" spans="1:22" ht="14.4" x14ac:dyDescent="0.3">
      <c r="A40" s="21">
        <v>22</v>
      </c>
      <c r="B40" s="21">
        <f t="shared" si="0"/>
        <v>3307</v>
      </c>
      <c r="C40" s="14" t="s">
        <v>57</v>
      </c>
      <c r="D40" s="12">
        <v>3.7999999523162802</v>
      </c>
      <c r="E40" s="12">
        <v>5.6999998092651403</v>
      </c>
      <c r="F40" s="12">
        <v>3.2999999523162802</v>
      </c>
      <c r="G40" s="12">
        <v>-27</v>
      </c>
      <c r="H40" s="12">
        <v>1.7</v>
      </c>
      <c r="I40" s="13">
        <v>41</v>
      </c>
      <c r="J40">
        <f>2492.86314*(0.83)</f>
        <v>2069.0764061999998</v>
      </c>
      <c r="K40">
        <v>0</v>
      </c>
      <c r="L40">
        <f>3752.14452*(0.83)</f>
        <v>3114.2799515999995</v>
      </c>
      <c r="M40">
        <f>3451.9729584*(0.83)</f>
        <v>2865.1375554719998</v>
      </c>
      <c r="N40">
        <f>0.65*(0.83)</f>
        <v>0.53949999999999998</v>
      </c>
      <c r="O40">
        <f>16719.894*(0.83)</f>
        <v>13877.51202</v>
      </c>
      <c r="P40">
        <f>9173537.4788*(0.83)</f>
        <v>7614036.1074040001</v>
      </c>
      <c r="Q40">
        <f>7556.9109*(0.83)</f>
        <v>6272.2360469999994</v>
      </c>
      <c r="R40">
        <f>8781272.2624*(0.83)</f>
        <v>7288455.9777920004</v>
      </c>
      <c r="S40" s="13">
        <v>744</v>
      </c>
      <c r="T40" s="13">
        <v>0</v>
      </c>
      <c r="U40" s="13">
        <v>744</v>
      </c>
      <c r="V40" s="13">
        <v>0</v>
      </c>
    </row>
    <row r="41" spans="1:22" ht="14.4" x14ac:dyDescent="0.3">
      <c r="A41" s="21">
        <v>23</v>
      </c>
      <c r="B41" s="21">
        <f t="shared" si="0"/>
        <v>3308</v>
      </c>
      <c r="C41" s="14" t="s">
        <v>58</v>
      </c>
      <c r="D41" s="12">
        <v>3.7999999523162802</v>
      </c>
      <c r="E41" s="12">
        <v>5</v>
      </c>
      <c r="F41" s="12">
        <v>3.2999999523162802</v>
      </c>
      <c r="G41" s="12">
        <v>10.8</v>
      </c>
      <c r="H41" s="12">
        <v>1.7</v>
      </c>
      <c r="I41" s="13">
        <v>106</v>
      </c>
      <c r="J41">
        <f>6374.11832*(0.83)</f>
        <v>5290.5182056000003</v>
      </c>
      <c r="K41">
        <v>0</v>
      </c>
      <c r="L41">
        <f>9856.884*(0.83)</f>
        <v>8181.2137199999997</v>
      </c>
      <c r="M41">
        <f>11039.71008*(0.83)</f>
        <v>9162.9593664000004</v>
      </c>
      <c r="N41">
        <f>0.696*(0.83)</f>
        <v>0.57767999999999997</v>
      </c>
      <c r="O41">
        <f>42992.592*(0.83)</f>
        <v>35683.851359999993</v>
      </c>
      <c r="P41">
        <f>7976754.29512*(0.83)</f>
        <v>6620706.0649496</v>
      </c>
      <c r="Q41">
        <f>6008.8311*(0.83)</f>
        <v>4987.3298130000003</v>
      </c>
      <c r="R41">
        <f>10487429.90686*(0.83)</f>
        <v>8704566.8226938006</v>
      </c>
      <c r="S41" s="13">
        <v>744</v>
      </c>
      <c r="T41" s="13">
        <v>0</v>
      </c>
      <c r="U41" s="13">
        <v>744</v>
      </c>
      <c r="V41" s="13">
        <v>0</v>
      </c>
    </row>
    <row r="42" spans="1:22" ht="14.4" x14ac:dyDescent="0.3">
      <c r="A42" s="21">
        <v>24</v>
      </c>
      <c r="B42" s="21">
        <f t="shared" si="0"/>
        <v>3309</v>
      </c>
      <c r="C42" s="14" t="s">
        <v>59</v>
      </c>
      <c r="D42" s="12">
        <v>3.7999999523162802</v>
      </c>
      <c r="E42" s="12"/>
      <c r="F42" s="12">
        <v>3.2999999523162802</v>
      </c>
      <c r="G42" s="12">
        <v>-1</v>
      </c>
      <c r="H42" s="12">
        <v>1.7</v>
      </c>
      <c r="I42" s="13">
        <v>26</v>
      </c>
      <c r="J42">
        <f>226.91792*(0.83)</f>
        <v>188.34187359999999</v>
      </c>
      <c r="K42">
        <v>0</v>
      </c>
      <c r="L42">
        <f>322.83168*(0.83)</f>
        <v>267.95029440000002</v>
      </c>
      <c r="M42">
        <f>326.0599968*(0.83)</f>
        <v>270.62979734400005</v>
      </c>
      <c r="N42">
        <f>1646.504*(0.83)</f>
        <v>1366.5983199999998</v>
      </c>
      <c r="O42">
        <f>21789.43*(0.83)</f>
        <v>18085.226899999998</v>
      </c>
      <c r="P42">
        <f>10321687.22796*(0.83)</f>
        <v>8567000.3992067985</v>
      </c>
      <c r="Q42">
        <f>11006.49956*(0.83)</f>
        <v>9135.394634799999</v>
      </c>
      <c r="R42">
        <f>12110802.567*(0.83)</f>
        <v>10051966.130609998</v>
      </c>
      <c r="S42" s="13">
        <v>108</v>
      </c>
      <c r="T42" s="13">
        <v>0</v>
      </c>
      <c r="U42" s="13">
        <v>108</v>
      </c>
      <c r="V42" s="13">
        <v>0</v>
      </c>
    </row>
    <row r="43" spans="1:22" ht="9" customHeight="1" x14ac:dyDescent="0.3">
      <c r="A43"/>
      <c r="B43" s="21"/>
      <c r="C43" s="14"/>
      <c r="D43" s="12"/>
      <c r="E43" s="12"/>
      <c r="F43" s="12"/>
      <c r="G43" s="12"/>
      <c r="H43" s="12"/>
      <c r="I43" s="13"/>
      <c r="J43">
        <f>0*(0.83)</f>
        <v>0</v>
      </c>
      <c r="K43">
        <v>0</v>
      </c>
      <c r="L43">
        <f t="shared" ref="L43:R43" si="5">0*(0.83)</f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 s="13"/>
      <c r="T43" s="13"/>
      <c r="U43" s="13"/>
      <c r="V43" s="13"/>
    </row>
    <row r="44" spans="1:22" ht="14.4" x14ac:dyDescent="0.3">
      <c r="A44" s="21">
        <v>25</v>
      </c>
      <c r="B44" s="21">
        <f t="shared" si="0"/>
        <v>3312</v>
      </c>
      <c r="C44" s="14" t="s">
        <v>60</v>
      </c>
      <c r="D44" s="12">
        <v>3.4000000953674299</v>
      </c>
      <c r="E44" s="12">
        <v>5.3000001907348597</v>
      </c>
      <c r="F44" s="12">
        <v>3.2999999523162802</v>
      </c>
      <c r="G44" s="12">
        <v>-14</v>
      </c>
      <c r="H44" s="12">
        <v>-14.8</v>
      </c>
      <c r="I44" s="13">
        <v>47</v>
      </c>
      <c r="J44">
        <f>2824.7758*(0.83)</f>
        <v>2344.5639139999998</v>
      </c>
      <c r="K44">
        <v>0</v>
      </c>
      <c r="L44">
        <f>4863.2738*(0.83)</f>
        <v>4036.5172539999999</v>
      </c>
      <c r="M44">
        <f>4425.579158*(0.83)</f>
        <v>3673.2307011400003</v>
      </c>
      <c r="N44">
        <f>24.942*(0.83)</f>
        <v>20.70186</v>
      </c>
      <c r="O44">
        <f>16229.37*(0.83)</f>
        <v>13470.3771</v>
      </c>
      <c r="P44">
        <f>4045904.8723*(0.83)</f>
        <v>3358101.0440090001</v>
      </c>
      <c r="Q44">
        <f>7844.35148*(0.83)</f>
        <v>6510.8117283999991</v>
      </c>
      <c r="R44">
        <f>4094821.56096*(0.83)</f>
        <v>3398701.8955967999</v>
      </c>
      <c r="S44" s="13">
        <v>744</v>
      </c>
      <c r="T44" s="13">
        <v>0</v>
      </c>
      <c r="U44" s="13">
        <v>744</v>
      </c>
      <c r="V44" s="13">
        <v>0</v>
      </c>
    </row>
    <row r="45" spans="1:22" ht="14.4" x14ac:dyDescent="0.3">
      <c r="A45" s="21">
        <v>26</v>
      </c>
      <c r="B45" s="21">
        <f t="shared" si="0"/>
        <v>3313</v>
      </c>
      <c r="C45" s="14" t="s">
        <v>61</v>
      </c>
      <c r="D45" s="12">
        <v>3.4000000953674299</v>
      </c>
      <c r="E45" s="12">
        <v>5</v>
      </c>
      <c r="F45" s="12">
        <v>3.2999999523162802</v>
      </c>
      <c r="G45" s="12">
        <v>-15</v>
      </c>
      <c r="H45" s="12">
        <v>-14.8</v>
      </c>
      <c r="I45" s="13">
        <v>35</v>
      </c>
      <c r="J45">
        <f>2080.5433*(0.83)</f>
        <v>1726.8509389999997</v>
      </c>
      <c r="K45">
        <v>0</v>
      </c>
      <c r="L45">
        <f>3903.6998*(0.83)</f>
        <v>3240.0708339999996</v>
      </c>
      <c r="M45">
        <f>3318.14483*(0.83)</f>
        <v>2754.0602088999995</v>
      </c>
      <c r="N45">
        <f>77.724*(0.83)</f>
        <v>64.510919999999999</v>
      </c>
      <c r="O45">
        <f>12340.588*(0.83)</f>
        <v>10242.688039999999</v>
      </c>
      <c r="P45">
        <f>4696756.28792*(0.83)</f>
        <v>3898307.7189735998</v>
      </c>
      <c r="Q45">
        <f>8329.18116*(0.83)</f>
        <v>6913.2203627999997</v>
      </c>
      <c r="R45">
        <f>3663743.3316*(0.83)</f>
        <v>3040906.9652280002</v>
      </c>
      <c r="S45" s="13">
        <v>744</v>
      </c>
      <c r="T45" s="13">
        <v>0</v>
      </c>
      <c r="U45" s="13">
        <v>744</v>
      </c>
      <c r="V45" s="13">
        <v>0</v>
      </c>
    </row>
    <row r="46" spans="1:22" ht="14.4" x14ac:dyDescent="0.3">
      <c r="A46" s="21">
        <v>27</v>
      </c>
      <c r="B46" s="21">
        <f t="shared" si="0"/>
        <v>3314</v>
      </c>
      <c r="C46" s="14" t="s">
        <v>62</v>
      </c>
      <c r="D46" s="12">
        <v>3.4000000953674299</v>
      </c>
      <c r="E46" s="12"/>
      <c r="F46" s="12">
        <v>3.2999999523162802</v>
      </c>
      <c r="G46" s="12">
        <v>-1</v>
      </c>
      <c r="H46" s="12">
        <v>-14.8</v>
      </c>
      <c r="I46" s="13">
        <v>39</v>
      </c>
      <c r="J46">
        <f>343.13168*(0.83)</f>
        <v>284.79929440000001</v>
      </c>
      <c r="K46">
        <v>0</v>
      </c>
      <c r="L46">
        <f>318.3696*(0.83)</f>
        <v>264.24676800000003</v>
      </c>
      <c r="M46">
        <f>312.002208*(0.83)</f>
        <v>258.96183264000001</v>
      </c>
      <c r="N46">
        <f>1205.102*(0.83)</f>
        <v>1000.2346600000001</v>
      </c>
      <c r="O46">
        <f>1558.846*(0.83)</f>
        <v>1293.8421799999999</v>
      </c>
      <c r="P46">
        <f>2858006.20374*(0.83)</f>
        <v>2372145.1491041998</v>
      </c>
      <c r="Q46">
        <f>10118.2014*(0.83)</f>
        <v>8398.1071620000002</v>
      </c>
      <c r="R46">
        <f>3359156.59764*(0.83)</f>
        <v>2788099.9760412001</v>
      </c>
      <c r="S46" s="13">
        <v>108</v>
      </c>
      <c r="T46" s="13">
        <v>0</v>
      </c>
      <c r="U46" s="13">
        <v>108</v>
      </c>
      <c r="V46" s="13">
        <v>0</v>
      </c>
    </row>
    <row r="47" spans="1:22" ht="14.4" x14ac:dyDescent="0.3">
      <c r="A47" s="21">
        <v>28</v>
      </c>
      <c r="B47" s="21">
        <f t="shared" si="0"/>
        <v>3315</v>
      </c>
      <c r="C47" s="14" t="s">
        <v>63</v>
      </c>
      <c r="D47" s="12">
        <v>3.4000000953674299</v>
      </c>
      <c r="E47" s="12">
        <v>5.1999998092651403</v>
      </c>
      <c r="F47" s="12">
        <v>3.2999999523162802</v>
      </c>
      <c r="G47" s="12">
        <v>3.2</v>
      </c>
      <c r="H47" s="12">
        <v>-14.8</v>
      </c>
      <c r="I47" s="13">
        <v>44</v>
      </c>
      <c r="J47">
        <f>2623.12638*(0.83)</f>
        <v>2177.1948953999995</v>
      </c>
      <c r="K47">
        <v>0</v>
      </c>
      <c r="L47">
        <f>3163.97718*(0.83)</f>
        <v>2626.1010593999999</v>
      </c>
      <c r="M47">
        <f>2879.2192338*(0.83)</f>
        <v>2389.7519640539999</v>
      </c>
      <c r="N47">
        <f>72.816*(0.83)</f>
        <v>60.437280000000001</v>
      </c>
      <c r="O47">
        <f>15376.834*(0.83)</f>
        <v>12762.772220000001</v>
      </c>
      <c r="P47">
        <f>5620607.71494*(0.83)</f>
        <v>4665104.4034002004</v>
      </c>
      <c r="Q47">
        <f>6085.508*(0.83)</f>
        <v>5050.9716399999998</v>
      </c>
      <c r="R47">
        <f>4308771.4089*(0.83)</f>
        <v>3576280.2693869998</v>
      </c>
      <c r="S47" s="13">
        <v>744</v>
      </c>
      <c r="T47" s="13">
        <v>0</v>
      </c>
      <c r="U47" s="13">
        <v>744</v>
      </c>
      <c r="V47" s="13">
        <v>0</v>
      </c>
    </row>
    <row r="48" spans="1:22" ht="14.4" x14ac:dyDescent="0.3">
      <c r="A48" s="21">
        <v>29</v>
      </c>
      <c r="B48" s="21">
        <f t="shared" si="0"/>
        <v>3316</v>
      </c>
      <c r="C48" s="14" t="s">
        <v>64</v>
      </c>
      <c r="D48" s="12">
        <v>3.4000000953674299</v>
      </c>
      <c r="E48" s="12">
        <v>5</v>
      </c>
      <c r="F48" s="12">
        <v>3.2999999523162802</v>
      </c>
      <c r="G48" s="12">
        <v>5.3</v>
      </c>
      <c r="H48" s="12">
        <v>-14.8</v>
      </c>
      <c r="I48" s="13">
        <v>49</v>
      </c>
      <c r="J48">
        <f>2918.71448*(0.83)</f>
        <v>2422.5330183999995</v>
      </c>
      <c r="K48">
        <v>0</v>
      </c>
      <c r="L48">
        <f>3069.16368*(0.83)</f>
        <v>2547.4058544</v>
      </c>
      <c r="M48">
        <f>3130.5469536*(0.83)</f>
        <v>2598.3539714879998</v>
      </c>
      <c r="N48">
        <f>0.382*(0.83)</f>
        <v>0.31706000000000001</v>
      </c>
      <c r="O48">
        <f>13025.152*(0.83)</f>
        <v>10810.87616</v>
      </c>
      <c r="P48">
        <f>4704258.70692*(0.83)</f>
        <v>3904534.7267435999</v>
      </c>
      <c r="Q48">
        <f>8293.95144*(0.83)</f>
        <v>6883.9796952000006</v>
      </c>
      <c r="R48">
        <f>6226639.7088*(0.83)</f>
        <v>5168110.958304001</v>
      </c>
      <c r="S48" s="13">
        <v>744</v>
      </c>
      <c r="T48" s="13">
        <v>0</v>
      </c>
      <c r="U48" s="13">
        <v>744</v>
      </c>
      <c r="V48" s="13">
        <v>0</v>
      </c>
    </row>
    <row r="49" spans="1:22" ht="9" customHeight="1" x14ac:dyDescent="0.3">
      <c r="A49"/>
      <c r="B49" s="21"/>
      <c r="C49" s="14"/>
      <c r="D49" s="12"/>
      <c r="E49" s="12"/>
      <c r="F49" s="12"/>
      <c r="G49" s="12"/>
      <c r="H49" s="12"/>
      <c r="I49" s="13"/>
      <c r="J49">
        <f>0*(0.83)</f>
        <v>0</v>
      </c>
      <c r="K49">
        <v>0</v>
      </c>
      <c r="L49">
        <f t="shared" ref="L49:R49" si="6">0*(0.83)</f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 s="13"/>
      <c r="T49" s="13"/>
      <c r="U49" s="13"/>
      <c r="V49" s="13"/>
    </row>
    <row r="50" spans="1:22" ht="14.4" x14ac:dyDescent="0.3">
      <c r="A50" s="21">
        <v>30</v>
      </c>
      <c r="B50" s="21">
        <f t="shared" si="0"/>
        <v>3331</v>
      </c>
      <c r="C50" s="14" t="s">
        <v>65</v>
      </c>
      <c r="D50" s="12">
        <v>3.7999999523162802</v>
      </c>
      <c r="E50" s="12">
        <v>5.3000001907348597</v>
      </c>
      <c r="F50" s="12">
        <v>3.2999999523162802</v>
      </c>
      <c r="G50" s="12">
        <v>5.8</v>
      </c>
      <c r="H50" s="12">
        <v>-10.4</v>
      </c>
      <c r="I50" s="13">
        <v>44</v>
      </c>
      <c r="J50">
        <f>2639.06348*(0.83)</f>
        <v>2190.4226884</v>
      </c>
      <c r="K50">
        <v>0</v>
      </c>
      <c r="L50">
        <f>3400.855*(0.83)</f>
        <v>2822.7096500000002</v>
      </c>
      <c r="M50">
        <f>3842.96615*(0.83)</f>
        <v>3189.6619045000007</v>
      </c>
      <c r="N50">
        <f>0.328*(0.83)</f>
        <v>0.27223999999999998</v>
      </c>
      <c r="O50">
        <f>17031.954*(0.83)</f>
        <v>14136.52182</v>
      </c>
      <c r="P50">
        <f>13716182.1055*(0.83)</f>
        <v>11384431.147564998</v>
      </c>
      <c r="Q50">
        <f>11926.27524*(0.83)</f>
        <v>9898.808449199998</v>
      </c>
      <c r="R50">
        <f>12691560.5938*(0.83)</f>
        <v>10533995.292854</v>
      </c>
      <c r="S50" s="13">
        <v>744</v>
      </c>
      <c r="T50" s="13">
        <v>0</v>
      </c>
      <c r="U50" s="13">
        <v>744</v>
      </c>
      <c r="V50" s="13">
        <v>0</v>
      </c>
    </row>
    <row r="51" spans="1:22" ht="14.4" x14ac:dyDescent="0.3">
      <c r="A51" s="21">
        <v>31</v>
      </c>
      <c r="B51" s="21">
        <f t="shared" si="0"/>
        <v>3336</v>
      </c>
      <c r="C51" s="14" t="s">
        <v>66</v>
      </c>
      <c r="D51" s="12">
        <v>3.7999999523162802</v>
      </c>
      <c r="E51" s="12">
        <v>5.4000000953674299</v>
      </c>
      <c r="F51" s="12">
        <v>3.2999999523162802</v>
      </c>
      <c r="G51" s="12">
        <v>-1.1000000000000001</v>
      </c>
      <c r="H51" s="12">
        <v>-10.4</v>
      </c>
      <c r="I51" s="13">
        <v>56</v>
      </c>
      <c r="J51">
        <f>3864.5288502436*(0.83)</f>
        <v>3207.5589457021879</v>
      </c>
      <c r="K51">
        <v>0</v>
      </c>
      <c r="L51">
        <f>5147.55248*(0.83)</f>
        <v>4272.4685583999999</v>
      </c>
      <c r="M51">
        <f>4426.8951328*(0.83)</f>
        <v>3674.3229602239999</v>
      </c>
      <c r="N51">
        <f>52.212*(0.83)</f>
        <v>43.33596</v>
      </c>
      <c r="O51">
        <f>21987.754*(0.83)</f>
        <v>18249.83582</v>
      </c>
      <c r="P51">
        <f>10994657.558*(0.83)</f>
        <v>9125565.7731400002</v>
      </c>
      <c r="Q51">
        <f>11571.98532*(0.83)</f>
        <v>9604.7478155999997</v>
      </c>
      <c r="R51">
        <f>10124676.1484*(0.83)</f>
        <v>8403481.2031719983</v>
      </c>
      <c r="S51" s="13">
        <v>744</v>
      </c>
      <c r="T51" s="13">
        <v>0</v>
      </c>
      <c r="U51" s="13">
        <v>744</v>
      </c>
      <c r="V51" s="13">
        <v>0</v>
      </c>
    </row>
    <row r="52" spans="1:22" ht="14.4" x14ac:dyDescent="0.3">
      <c r="A52" s="21">
        <v>32</v>
      </c>
      <c r="B52" s="21">
        <f t="shared" si="0"/>
        <v>3338</v>
      </c>
      <c r="C52" s="14" t="s">
        <v>67</v>
      </c>
      <c r="D52" s="12">
        <v>3.7999999523162802</v>
      </c>
      <c r="E52" s="12">
        <v>5.0999999046325701</v>
      </c>
      <c r="F52" s="12">
        <v>3.2999999523162802</v>
      </c>
      <c r="G52" s="12">
        <v>-16</v>
      </c>
      <c r="H52" s="12">
        <v>-10.4</v>
      </c>
      <c r="I52" s="13">
        <v>39</v>
      </c>
      <c r="J52">
        <f>2342.63342*(0.83)</f>
        <v>1944.3857385999995</v>
      </c>
      <c r="K52">
        <v>0</v>
      </c>
      <c r="L52">
        <f>2704.89632*(0.83)</f>
        <v>2245.0639455999999</v>
      </c>
      <c r="M52">
        <f>2542.6025408*(0.83)</f>
        <v>2110.3601088639998</v>
      </c>
      <c r="N52">
        <f>53.1*(0.83)</f>
        <v>44.073</v>
      </c>
      <c r="O52">
        <f>15083.464*(0.83)</f>
        <v>12519.27512</v>
      </c>
      <c r="P52">
        <f>9277549.64448*(0.83)</f>
        <v>7700366.2049184004</v>
      </c>
      <c r="Q52">
        <f>11097.15488*(0.83)</f>
        <v>9210.6385504000009</v>
      </c>
      <c r="R52">
        <f>7680340.92796*(0.83)</f>
        <v>6374682.970206799</v>
      </c>
      <c r="S52" s="13">
        <v>744</v>
      </c>
      <c r="T52" s="13">
        <v>0</v>
      </c>
      <c r="U52" s="13">
        <v>744</v>
      </c>
      <c r="V52" s="13">
        <v>0</v>
      </c>
    </row>
    <row r="53" spans="1:22" ht="14.4" x14ac:dyDescent="0.3">
      <c r="A53" s="21">
        <v>33</v>
      </c>
      <c r="B53" s="21">
        <f t="shared" si="0"/>
        <v>3339</v>
      </c>
      <c r="C53" s="14" t="s">
        <v>68</v>
      </c>
      <c r="D53" s="12">
        <v>3.7999999523162802</v>
      </c>
      <c r="E53" s="12">
        <v>5.8000001907348597</v>
      </c>
      <c r="F53" s="12">
        <v>3.2999999523162802</v>
      </c>
      <c r="G53" s="12">
        <v>8.6</v>
      </c>
      <c r="H53" s="12">
        <v>-10.4</v>
      </c>
      <c r="I53" s="13">
        <v>81</v>
      </c>
      <c r="J53">
        <f>4900.98902*(0.83)</f>
        <v>4067.8208866</v>
      </c>
      <c r="K53">
        <v>0</v>
      </c>
      <c r="L53">
        <f>7730.42598*(0.83)</f>
        <v>6416.2535633999996</v>
      </c>
      <c r="M53">
        <f>8735.3813574*(0.83)</f>
        <v>7250.3665266420012</v>
      </c>
      <c r="N53">
        <f>0.326*(0.83)</f>
        <v>0.27057999999999999</v>
      </c>
      <c r="O53">
        <f>32736.894*(0.83)</f>
        <v>27171.622019999999</v>
      </c>
      <c r="P53">
        <f>9815405.96228*(0.83)</f>
        <v>8146786.9486923991</v>
      </c>
      <c r="Q53">
        <f>9763.69492*(0.83)</f>
        <v>8103.8667835999995</v>
      </c>
      <c r="R53">
        <f>11480680.6719*(0.83)</f>
        <v>9528964.9576769993</v>
      </c>
      <c r="S53" s="13">
        <v>744</v>
      </c>
      <c r="T53" s="13">
        <v>0</v>
      </c>
      <c r="U53" s="13">
        <v>744</v>
      </c>
      <c r="V53" s="13">
        <v>0</v>
      </c>
    </row>
    <row r="54" spans="1:22" ht="9" customHeight="1" x14ac:dyDescent="0.3">
      <c r="A54"/>
      <c r="B54" s="21"/>
      <c r="C54" s="14"/>
      <c r="D54" s="12"/>
      <c r="E54" s="12"/>
      <c r="F54" s="12"/>
      <c r="G54" s="12"/>
      <c r="H54" s="12"/>
      <c r="I54" s="13"/>
      <c r="J54">
        <f>0*(0.83)</f>
        <v>0</v>
      </c>
      <c r="K54">
        <v>0</v>
      </c>
      <c r="L54">
        <f t="shared" ref="L54:R54" si="7">0*(0.83)</f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 s="13"/>
      <c r="T54" s="13"/>
      <c r="U54" s="13"/>
      <c r="V54" s="13"/>
    </row>
    <row r="55" spans="1:22" ht="14.4" x14ac:dyDescent="0.3">
      <c r="A55" s="21">
        <v>34</v>
      </c>
      <c r="B55" s="21">
        <f t="shared" si="0"/>
        <v>3343</v>
      </c>
      <c r="C55" s="14" t="s">
        <v>69</v>
      </c>
      <c r="D55" s="12">
        <v>3.5999999046325701</v>
      </c>
      <c r="E55" s="12">
        <v>5</v>
      </c>
      <c r="F55" s="12">
        <v>3.2999999523162802</v>
      </c>
      <c r="G55" s="12">
        <v>10.8</v>
      </c>
      <c r="H55" s="12">
        <v>-3.9</v>
      </c>
      <c r="I55" s="13">
        <v>118</v>
      </c>
      <c r="J55">
        <f>7077.51576*(0.83)</f>
        <v>5874.3380808000002</v>
      </c>
      <c r="K55">
        <v>0</v>
      </c>
      <c r="L55">
        <f>11820.18096*(0.83)</f>
        <v>9810.7501968000015</v>
      </c>
      <c r="M55">
        <f>10165.3556256*(0.83)</f>
        <v>8437.2451692480008</v>
      </c>
      <c r="N55">
        <f>16.524*(0.83)</f>
        <v>13.714919999999999</v>
      </c>
      <c r="O55">
        <f>43817.86*(0.83)</f>
        <v>36368.823799999998</v>
      </c>
      <c r="P55">
        <f>10010420.1378*(0.83)</f>
        <v>8308648.7143740002</v>
      </c>
      <c r="Q55">
        <f>5971.83132*(0.83)</f>
        <v>4956.6199956</v>
      </c>
      <c r="R55">
        <f>13354932.4392*(0.83)</f>
        <v>11084593.924536001</v>
      </c>
      <c r="S55" s="13">
        <v>744</v>
      </c>
      <c r="T55" s="13">
        <v>0</v>
      </c>
      <c r="U55" s="13">
        <v>744</v>
      </c>
      <c r="V55" s="13">
        <v>0</v>
      </c>
    </row>
    <row r="56" spans="1:22" ht="14.4" x14ac:dyDescent="0.3">
      <c r="A56" s="21">
        <v>35</v>
      </c>
      <c r="B56" s="21">
        <f t="shared" si="0"/>
        <v>3346</v>
      </c>
      <c r="C56" s="14" t="s">
        <v>70</v>
      </c>
      <c r="D56" s="12">
        <v>3.5999999046325701</v>
      </c>
      <c r="E56" s="12">
        <v>4.9000000953674299</v>
      </c>
      <c r="F56" s="12">
        <v>3.2999999523162802</v>
      </c>
      <c r="G56" s="12">
        <v>-25</v>
      </c>
      <c r="H56" s="12">
        <v>-3.9</v>
      </c>
      <c r="I56" s="13">
        <v>106</v>
      </c>
      <c r="J56">
        <f>6545.9630518632*(0.83)</f>
        <v>5433.1493330464564</v>
      </c>
      <c r="K56">
        <v>0</v>
      </c>
      <c r="L56">
        <f>7790.28264*(0.83)</f>
        <v>6465.934591199999</v>
      </c>
      <c r="M56">
        <f>9036.7278624*(0.83)</f>
        <v>7500.4841257919988</v>
      </c>
      <c r="N56">
        <f>135.95*(0.83)</f>
        <v>112.83849999999998</v>
      </c>
      <c r="O56">
        <f>32980.53*(0.83)</f>
        <v>27373.839899999999</v>
      </c>
      <c r="P56">
        <f>11650208.69376*(0.83)</f>
        <v>9669673.2158208005</v>
      </c>
      <c r="Q56">
        <f>8931.64188*(0.83)</f>
        <v>7413.262760399999</v>
      </c>
      <c r="R56">
        <f>13602666.52864*(0.83)</f>
        <v>11290213.218771199</v>
      </c>
      <c r="S56" s="13">
        <v>744</v>
      </c>
      <c r="T56" s="13">
        <v>0</v>
      </c>
      <c r="U56" s="13">
        <v>744</v>
      </c>
      <c r="V56" s="13">
        <v>0</v>
      </c>
    </row>
    <row r="57" spans="1:22" ht="14.4" x14ac:dyDescent="0.3">
      <c r="A57" s="21">
        <v>36</v>
      </c>
      <c r="B57" s="21">
        <f t="shared" si="0"/>
        <v>3347</v>
      </c>
      <c r="C57" s="14" t="s">
        <v>71</v>
      </c>
      <c r="D57" s="12">
        <v>3.5999999046325701</v>
      </c>
      <c r="E57" s="12"/>
      <c r="F57" s="12">
        <v>3.2999999523162802</v>
      </c>
      <c r="G57" s="12">
        <v>-1</v>
      </c>
      <c r="H57" s="12">
        <v>-3.9</v>
      </c>
      <c r="I57" s="13">
        <v>37</v>
      </c>
      <c r="J57">
        <f>319.21148*(0.83)</f>
        <v>264.9455284</v>
      </c>
      <c r="K57">
        <v>0</v>
      </c>
      <c r="L57">
        <f>368.57408*(0.83)</f>
        <v>305.9164864</v>
      </c>
      <c r="M57">
        <f>412.8029696*(0.83)</f>
        <v>342.62646476800006</v>
      </c>
      <c r="N57">
        <f>744.298*(0.83)</f>
        <v>617.76733999999999</v>
      </c>
      <c r="O57">
        <f>1073.382*(0.83)</f>
        <v>890.90706</v>
      </c>
      <c r="P57">
        <f>7859626.80528*(0.83)</f>
        <v>6523490.2483823998</v>
      </c>
      <c r="Q57">
        <f>10564.22928*(0.83)</f>
        <v>8768.3103023999993</v>
      </c>
      <c r="R57">
        <f>10127743.4148*(0.83)</f>
        <v>8406027.0342839994</v>
      </c>
      <c r="S57" s="13">
        <v>108</v>
      </c>
      <c r="T57" s="13">
        <v>0</v>
      </c>
      <c r="U57" s="13">
        <v>108</v>
      </c>
      <c r="V57" s="13">
        <v>0</v>
      </c>
    </row>
    <row r="58" spans="1:22" ht="14.4" x14ac:dyDescent="0.3">
      <c r="A58" s="21">
        <v>37</v>
      </c>
      <c r="B58" s="21">
        <f t="shared" si="0"/>
        <v>3348</v>
      </c>
      <c r="C58" s="14" t="s">
        <v>72</v>
      </c>
      <c r="D58" s="12">
        <v>3.5999999046325701</v>
      </c>
      <c r="E58" s="12">
        <v>4.9000000953674299</v>
      </c>
      <c r="F58" s="12">
        <v>3.2999999523162802</v>
      </c>
      <c r="G58" s="12">
        <v>1.3</v>
      </c>
      <c r="H58" s="12">
        <v>-3.9</v>
      </c>
      <c r="I58" s="13">
        <v>41</v>
      </c>
      <c r="J58">
        <f>2486.4883*(0.83)</f>
        <v>2063.7852889999999</v>
      </c>
      <c r="K58">
        <v>0</v>
      </c>
      <c r="L58">
        <f>2922.2646*(0.83)</f>
        <v>2425.4796179999998</v>
      </c>
      <c r="M58">
        <f>2863.819308*(0.83)</f>
        <v>2376.9700256400001</v>
      </c>
      <c r="N58">
        <f>16.51*(0.83)</f>
        <v>13.7033</v>
      </c>
      <c r="O58">
        <f>14869.326*(0.83)</f>
        <v>12341.540579999999</v>
      </c>
      <c r="P58">
        <f>9890000.56032*(0.83)</f>
        <v>8208700.4650655994</v>
      </c>
      <c r="Q58">
        <f>12948.27724*(0.83)</f>
        <v>10747.0701092</v>
      </c>
      <c r="R58">
        <f>9219393.96552*(0.83)</f>
        <v>7652096.9913815996</v>
      </c>
      <c r="S58" s="13">
        <v>744</v>
      </c>
      <c r="T58" s="13">
        <v>0</v>
      </c>
      <c r="U58" s="13">
        <v>744</v>
      </c>
      <c r="V58" s="13">
        <v>0</v>
      </c>
    </row>
    <row r="59" spans="1:22" ht="14.4" x14ac:dyDescent="0.3">
      <c r="A59" s="21">
        <v>38</v>
      </c>
      <c r="B59" s="21">
        <f t="shared" si="0"/>
        <v>3349</v>
      </c>
      <c r="C59" s="14" t="s">
        <v>73</v>
      </c>
      <c r="D59" s="12">
        <v>3.5999999046325701</v>
      </c>
      <c r="E59" s="12">
        <v>5.1999998092651403</v>
      </c>
      <c r="F59" s="12">
        <v>3.2999999523162802</v>
      </c>
      <c r="G59" s="12">
        <v>3.7</v>
      </c>
      <c r="H59" s="12">
        <v>-3.9</v>
      </c>
      <c r="I59" s="13">
        <v>38</v>
      </c>
      <c r="J59">
        <f>2270.70598*(0.83)</f>
        <v>1884.6859634</v>
      </c>
      <c r="K59">
        <v>0</v>
      </c>
      <c r="L59">
        <f>1989.7939*(0.83)</f>
        <v>1651.528937</v>
      </c>
      <c r="M59">
        <f>2148.977412*(0.83)</f>
        <v>1783.6512519600001</v>
      </c>
      <c r="N59">
        <f>95.402*(0.83)</f>
        <v>79.183660000000003</v>
      </c>
      <c r="O59">
        <f>13980.952*(0.83)</f>
        <v>11604.190159999998</v>
      </c>
      <c r="P59">
        <f>7219327.8286*(0.83)</f>
        <v>5992042.0977380006</v>
      </c>
      <c r="Q59">
        <f>7439.26038*(0.83)</f>
        <v>6174.5861153999995</v>
      </c>
      <c r="R59">
        <f>7759191.27438*(0.83)</f>
        <v>6440128.7577353995</v>
      </c>
      <c r="S59" s="13">
        <v>744</v>
      </c>
      <c r="T59" s="13">
        <v>0</v>
      </c>
      <c r="U59" s="13">
        <v>744</v>
      </c>
      <c r="V59" s="13">
        <v>0</v>
      </c>
    </row>
    <row r="60" spans="1:22" ht="9" customHeight="1" x14ac:dyDescent="0.3">
      <c r="A60"/>
      <c r="B60" s="21"/>
      <c r="C60" s="14"/>
      <c r="D60" s="12"/>
      <c r="E60" s="12"/>
      <c r="F60" s="12"/>
      <c r="G60" s="12"/>
      <c r="H60" s="12"/>
      <c r="I60" s="13"/>
      <c r="J60">
        <f>0*(0.83)</f>
        <v>0</v>
      </c>
      <c r="K60">
        <v>0</v>
      </c>
      <c r="L60">
        <f t="shared" ref="L60:R60" si="8">0*(0.83)</f>
        <v>0</v>
      </c>
      <c r="M60">
        <f t="shared" si="8"/>
        <v>0</v>
      </c>
      <c r="N60">
        <f t="shared" si="8"/>
        <v>0</v>
      </c>
      <c r="O60">
        <f t="shared" si="8"/>
        <v>0</v>
      </c>
      <c r="P60">
        <f t="shared" si="8"/>
        <v>0</v>
      </c>
      <c r="Q60">
        <f t="shared" si="8"/>
        <v>0</v>
      </c>
      <c r="R60">
        <f t="shared" si="8"/>
        <v>0</v>
      </c>
      <c r="S60" s="13"/>
      <c r="T60" s="13"/>
      <c r="U60" s="13"/>
      <c r="V60" s="13"/>
    </row>
    <row r="61" spans="1:22" ht="14.4" x14ac:dyDescent="0.3">
      <c r="A61" s="21">
        <v>39</v>
      </c>
      <c r="B61" s="21">
        <f t="shared" si="0"/>
        <v>3386</v>
      </c>
      <c r="C61" s="14" t="s">
        <v>74</v>
      </c>
      <c r="D61" s="12">
        <v>4.0999999046325701</v>
      </c>
      <c r="E61" s="12">
        <v>5</v>
      </c>
      <c r="F61" s="12">
        <v>3.2999999523162802</v>
      </c>
      <c r="G61" s="12">
        <v>8.8000000000000007</v>
      </c>
      <c r="H61" s="12">
        <v>-7.5</v>
      </c>
      <c r="I61" s="13">
        <v>74</v>
      </c>
      <c r="J61">
        <f>4437.7306*(0.83)</f>
        <v>3683.3163979999999</v>
      </c>
      <c r="K61">
        <v>0</v>
      </c>
      <c r="L61">
        <f>4437.7306*(0.83)</f>
        <v>3683.3163979999999</v>
      </c>
      <c r="M61">
        <f>5414.031332*(0.83)</f>
        <v>4493.6460055599991</v>
      </c>
      <c r="N61">
        <f>64.728*(0.83)</f>
        <v>53.724239999999995</v>
      </c>
      <c r="O61">
        <f>30939.822*(0.83)</f>
        <v>25680.05226</v>
      </c>
      <c r="P61">
        <f>13063941.9692*(0.83)</f>
        <v>10843071.834436001</v>
      </c>
      <c r="Q61">
        <f>10099.98264*(0.83)</f>
        <v>8382.9855912000003</v>
      </c>
      <c r="R61">
        <f>13808904.87626*(0.83)</f>
        <v>11461391.047295801</v>
      </c>
      <c r="S61" s="13">
        <v>744</v>
      </c>
      <c r="T61" s="13">
        <v>0</v>
      </c>
      <c r="U61" s="13">
        <v>744</v>
      </c>
      <c r="V61" s="13">
        <v>0</v>
      </c>
    </row>
    <row r="62" spans="1:22" ht="14.4" x14ac:dyDescent="0.3">
      <c r="A62" s="21">
        <v>40</v>
      </c>
      <c r="B62" s="21">
        <f t="shared" si="0"/>
        <v>3389</v>
      </c>
      <c r="C62" s="14" t="s">
        <v>75</v>
      </c>
      <c r="D62" s="12">
        <v>4.0999999046325701</v>
      </c>
      <c r="E62" s="12">
        <v>5.6999998092651403</v>
      </c>
      <c r="F62" s="12">
        <v>3.2999999523162802</v>
      </c>
      <c r="G62" s="12">
        <v>6</v>
      </c>
      <c r="H62" s="12">
        <v>-7.5</v>
      </c>
      <c r="I62" s="13">
        <v>71</v>
      </c>
      <c r="J62">
        <f>4057.1549832*(0.83)</f>
        <v>3367.4386360559997</v>
      </c>
      <c r="K62">
        <v>0</v>
      </c>
      <c r="L62">
        <f>6018.08394*(0.83)</f>
        <v>4995.0096702000001</v>
      </c>
      <c r="M62">
        <f>5235.7330278*(0.83)</f>
        <v>4345.6584130739993</v>
      </c>
      <c r="N62">
        <f>0*(0.83)</f>
        <v>0</v>
      </c>
      <c r="O62">
        <f>29437.422*(0.83)</f>
        <v>24433.060259999998</v>
      </c>
      <c r="P62">
        <f>11294806.18296*(0.83)</f>
        <v>9374689.1318567991</v>
      </c>
      <c r="Q62">
        <f>11176.776*(0.83)</f>
        <v>9276.72408</v>
      </c>
      <c r="R62">
        <f>13336617.3822*(0.83)</f>
        <v>11069392.427226</v>
      </c>
      <c r="S62" s="13">
        <v>744</v>
      </c>
      <c r="T62" s="13">
        <v>0</v>
      </c>
      <c r="U62" s="13">
        <v>744</v>
      </c>
      <c r="V62" s="13">
        <v>0</v>
      </c>
    </row>
    <row r="63" spans="1:22" ht="9" customHeight="1" x14ac:dyDescent="0.3">
      <c r="A63"/>
      <c r="B63" s="21"/>
      <c r="C63" s="14"/>
      <c r="D63" s="12"/>
      <c r="E63" s="12"/>
      <c r="F63" s="12"/>
      <c r="G63" s="12"/>
      <c r="H63" s="12"/>
      <c r="I63" s="13"/>
      <c r="J63">
        <f>0*(0.83)</f>
        <v>0</v>
      </c>
      <c r="K63">
        <v>0</v>
      </c>
      <c r="L63">
        <f>0*(0.83)</f>
        <v>0</v>
      </c>
      <c r="M63">
        <f>0*(0.83)</f>
        <v>0</v>
      </c>
      <c r="N63">
        <f>0*(0.83)</f>
        <v>0</v>
      </c>
      <c r="O63">
        <f>0*(0.83)</f>
        <v>0</v>
      </c>
      <c r="P63">
        <f>0*(0.83)</f>
        <v>0</v>
      </c>
      <c r="Q63">
        <f>0*(0.83)</f>
        <v>0</v>
      </c>
      <c r="R63">
        <f>0*(0.83)</f>
        <v>0</v>
      </c>
      <c r="S63" s="13"/>
      <c r="T63" s="13"/>
      <c r="U63" s="13"/>
      <c r="V63" s="13"/>
    </row>
    <row r="64" spans="1:22" ht="14.4" x14ac:dyDescent="0.3">
      <c r="A64" s="21">
        <v>41</v>
      </c>
      <c r="B64" s="21">
        <f t="shared" si="0"/>
        <v>3403</v>
      </c>
      <c r="C64" s="14" t="s">
        <v>76</v>
      </c>
      <c r="D64" s="12">
        <v>4.4000000953674299</v>
      </c>
      <c r="E64" s="12">
        <v>5</v>
      </c>
      <c r="F64" s="12">
        <v>3.2999999523162802</v>
      </c>
      <c r="G64" s="12">
        <v>6.8</v>
      </c>
      <c r="H64" s="12">
        <v>-5.3</v>
      </c>
      <c r="I64" s="13">
        <v>59</v>
      </c>
      <c r="J64">
        <f>3568.76774*(0.83)</f>
        <v>2962.0772241999998</v>
      </c>
      <c r="K64">
        <v>0</v>
      </c>
      <c r="L64">
        <f>5702.6701*(0.83)</f>
        <v>4733.2161829999995</v>
      </c>
      <c r="M64">
        <f>6386.990512*(0.83)</f>
        <v>5301.2021249600011</v>
      </c>
      <c r="N64">
        <f>78.484*(0.83)</f>
        <v>65.141719999999992</v>
      </c>
      <c r="O64">
        <f>27005.334*(0.83)</f>
        <v>22414.427219999998</v>
      </c>
      <c r="P64">
        <f>9734049.19578*(0.83)</f>
        <v>8079260.8324973993</v>
      </c>
      <c r="Q64">
        <f>11750.57442*(0.83)</f>
        <v>9752.9767685999996</v>
      </c>
      <c r="R64">
        <f>10813868.58984*(0.83)</f>
        <v>8975510.9295671992</v>
      </c>
      <c r="S64" s="13">
        <v>744</v>
      </c>
      <c r="T64" s="13">
        <v>0</v>
      </c>
      <c r="U64" s="13">
        <v>744</v>
      </c>
      <c r="V64" s="13">
        <v>0</v>
      </c>
    </row>
    <row r="65" spans="1:22" ht="14.4" x14ac:dyDescent="0.3">
      <c r="A65" s="21">
        <v>42</v>
      </c>
      <c r="B65" s="21">
        <f t="shared" si="0"/>
        <v>3404</v>
      </c>
      <c r="C65" s="14" t="s">
        <v>77</v>
      </c>
      <c r="D65" s="12">
        <v>4.4000000953674299</v>
      </c>
      <c r="E65" s="12">
        <v>5</v>
      </c>
      <c r="F65" s="12">
        <v>3.2999999523162802</v>
      </c>
      <c r="G65" s="12">
        <v>7.4</v>
      </c>
      <c r="H65" s="12">
        <v>-5.3</v>
      </c>
      <c r="I65" s="13">
        <v>68</v>
      </c>
      <c r="J65">
        <f>4098.05988*(0.83)</f>
        <v>3401.3897003999996</v>
      </c>
      <c r="K65">
        <v>0</v>
      </c>
      <c r="L65">
        <f>5492.2452*(0.83)</f>
        <v>4558.5635160000002</v>
      </c>
      <c r="M65">
        <f>5437.322748*(0.83)</f>
        <v>4512.9778808400006</v>
      </c>
      <c r="N65">
        <f>77.792*(0.83)</f>
        <v>64.567359999999994</v>
      </c>
      <c r="O65">
        <f>27916.266*(0.83)</f>
        <v>23170.500779999998</v>
      </c>
      <c r="P65">
        <f>10160842.11162*(0.83)</f>
        <v>8433498.9526446015</v>
      </c>
      <c r="Q65">
        <f>9810.30248*(0.83)</f>
        <v>8142.5510583999994</v>
      </c>
      <c r="R65">
        <f>10860303.2362*(0.83)</f>
        <v>9014051.6860460006</v>
      </c>
      <c r="S65" s="13">
        <v>744</v>
      </c>
      <c r="T65" s="13">
        <v>0</v>
      </c>
      <c r="U65" s="13">
        <v>744</v>
      </c>
      <c r="V65" s="13">
        <v>0</v>
      </c>
    </row>
    <row r="66" spans="1:22" ht="14.4" x14ac:dyDescent="0.3">
      <c r="A66" s="21">
        <v>43</v>
      </c>
      <c r="B66" s="21">
        <f t="shared" si="0"/>
        <v>3407</v>
      </c>
      <c r="C66" s="14" t="s">
        <v>78</v>
      </c>
      <c r="D66" s="12">
        <v>4.4000000953674299</v>
      </c>
      <c r="E66" s="12">
        <v>5</v>
      </c>
      <c r="F66" s="12">
        <v>3.2999999523162802</v>
      </c>
      <c r="G66" s="12">
        <v>-1</v>
      </c>
      <c r="H66" s="12">
        <v>-5.3</v>
      </c>
      <c r="I66" s="13">
        <v>36</v>
      </c>
      <c r="J66">
        <f>2175.98548*(0.83)</f>
        <v>1806.0679483999998</v>
      </c>
      <c r="K66">
        <v>0</v>
      </c>
      <c r="L66">
        <f>4105.20972*(0.83)</f>
        <v>3407.3240676000005</v>
      </c>
      <c r="M66">
        <f>3530.4803592*(0.83)</f>
        <v>2930.2986981360004</v>
      </c>
      <c r="N66">
        <f>815.784*(0.83)</f>
        <v>677.10071999999991</v>
      </c>
      <c r="O66">
        <f>14445.492*(0.83)</f>
        <v>11989.75836</v>
      </c>
      <c r="P66">
        <f>8412316.00206*(0.83)</f>
        <v>6982222.2817097995</v>
      </c>
      <c r="Q66">
        <f>7151.747*(0.83)</f>
        <v>5935.9500099999996</v>
      </c>
      <c r="R66">
        <f>10839071.66496*(0.83)</f>
        <v>8996429.4819168001</v>
      </c>
      <c r="S66" s="13">
        <v>744</v>
      </c>
      <c r="T66" s="13">
        <v>0</v>
      </c>
      <c r="U66" s="13">
        <v>744</v>
      </c>
      <c r="V66" s="13">
        <v>0</v>
      </c>
    </row>
    <row r="67" spans="1:22" ht="14.4" x14ac:dyDescent="0.3">
      <c r="A67" s="21">
        <v>44</v>
      </c>
      <c r="B67" s="21">
        <f t="shared" si="0"/>
        <v>3408</v>
      </c>
      <c r="C67" s="14" t="s">
        <v>79</v>
      </c>
      <c r="D67" s="12">
        <v>4.4000000953674299</v>
      </c>
      <c r="E67" s="12">
        <v>5</v>
      </c>
      <c r="F67" s="12">
        <v>3.2999999523162802</v>
      </c>
      <c r="G67" s="12">
        <v>9</v>
      </c>
      <c r="H67" s="12">
        <v>-5.3</v>
      </c>
      <c r="I67" s="13">
        <v>70</v>
      </c>
      <c r="J67">
        <f>4190.49506*(0.83)</f>
        <v>3478.1108998</v>
      </c>
      <c r="K67">
        <v>0</v>
      </c>
      <c r="L67">
        <f>5961.73524*(0.83)</f>
        <v>4948.2402492000001</v>
      </c>
      <c r="M67">
        <f>5007.8576016*(0.83)</f>
        <v>4156.521809328</v>
      </c>
      <c r="N67">
        <f>0.34*(0.83)</f>
        <v>0.28220000000000001</v>
      </c>
      <c r="O67">
        <f>28826.548*(0.83)</f>
        <v>23926.034839999997</v>
      </c>
      <c r="P67">
        <f>13720246.88846*(0.83)</f>
        <v>11387804.917421799</v>
      </c>
      <c r="Q67">
        <f>10799.036*(0.83)</f>
        <v>8963.1998800000001</v>
      </c>
      <c r="R67">
        <f>10963397.3565*(0.83)</f>
        <v>9099619.8058949988</v>
      </c>
      <c r="S67" s="13">
        <v>744</v>
      </c>
      <c r="T67" s="13">
        <v>0</v>
      </c>
      <c r="U67" s="13">
        <v>744</v>
      </c>
      <c r="V67" s="13">
        <v>0</v>
      </c>
    </row>
    <row r="68" spans="1:22" ht="14.4" x14ac:dyDescent="0.3">
      <c r="A68" t="s">
        <v>28</v>
      </c>
      <c r="B68" s="21"/>
      <c r="C68" s="14"/>
      <c r="D68" s="12"/>
      <c r="E68" s="12"/>
      <c r="F68" s="12"/>
      <c r="G68" s="12"/>
      <c r="H68" s="12"/>
      <c r="I68" s="13"/>
      <c r="J68">
        <f>0*(0.83)</f>
        <v>0</v>
      </c>
      <c r="K68">
        <v>0</v>
      </c>
      <c r="L68">
        <f t="shared" ref="L68:R68" si="9">0*(0.83)</f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 s="13"/>
      <c r="T68" s="13"/>
      <c r="U68" s="13"/>
      <c r="V68" s="13"/>
    </row>
    <row r="69" spans="1:22" ht="14.4" x14ac:dyDescent="0.3">
      <c r="A69" s="21">
        <v>45</v>
      </c>
      <c r="B69" s="21">
        <f t="shared" si="0"/>
        <v>3255</v>
      </c>
      <c r="C69" s="14" t="s">
        <v>80</v>
      </c>
      <c r="D69" s="12">
        <v>3.5999999046325701</v>
      </c>
      <c r="E69" s="12">
        <v>5.1999998092651403</v>
      </c>
      <c r="F69" s="12">
        <v>3.2999999523162802</v>
      </c>
      <c r="G69" s="12">
        <v>-16</v>
      </c>
      <c r="H69" s="12">
        <v>-10.9</v>
      </c>
      <c r="I69" s="13">
        <v>77</v>
      </c>
      <c r="J69">
        <f>4649.47966*(0.83)</f>
        <v>3859.0681178</v>
      </c>
      <c r="K69">
        <v>16.308</v>
      </c>
      <c r="L69">
        <f>5531.0239*(0.83)</f>
        <v>4590.7498370000003</v>
      </c>
      <c r="M69">
        <f>6139.436529*(0.83)</f>
        <v>5095.7323190700008</v>
      </c>
      <c r="N69">
        <f>185.582*(0.83)</f>
        <v>154.03305999999998</v>
      </c>
      <c r="O69">
        <f>29066.46*(0.83)</f>
        <v>24125.161799999998</v>
      </c>
      <c r="P69">
        <f>7890415.35912*(0.83)</f>
        <v>6549044.7480696002</v>
      </c>
      <c r="Q69">
        <f>7206.63856*(0.83)</f>
        <v>5981.5100048000004</v>
      </c>
      <c r="R69">
        <f>10999802.9466*(0.83)</f>
        <v>9129836.4456779994</v>
      </c>
      <c r="S69" s="13">
        <v>743</v>
      </c>
      <c r="T69" s="13">
        <v>1</v>
      </c>
      <c r="U69" s="13">
        <v>744</v>
      </c>
      <c r="V69" s="13">
        <v>2</v>
      </c>
    </row>
    <row r="70" spans="1:22" ht="14.4" x14ac:dyDescent="0.3">
      <c r="A70" s="21">
        <v>46</v>
      </c>
      <c r="B70" s="21">
        <f t="shared" si="0"/>
        <v>3257</v>
      </c>
      <c r="C70" s="14" t="s">
        <v>81</v>
      </c>
      <c r="D70" s="12">
        <v>3.5999999046325701</v>
      </c>
      <c r="E70" s="12">
        <v>5.0999999046325701</v>
      </c>
      <c r="F70" s="12">
        <v>3.2999999523162802</v>
      </c>
      <c r="G70" s="12">
        <v>-6.2</v>
      </c>
      <c r="H70" s="12">
        <v>-10.9</v>
      </c>
      <c r="I70" s="13">
        <v>75</v>
      </c>
      <c r="J70">
        <f>4477.41136*(0.83)</f>
        <v>3716.2514287999998</v>
      </c>
      <c r="K70">
        <v>15.965999999999999</v>
      </c>
      <c r="L70">
        <f>7457.28494*(0.83)</f>
        <v>6189.5465002000001</v>
      </c>
      <c r="M70">
        <f>7009.8478436*(0.83)</f>
        <v>5818.1737101879999</v>
      </c>
      <c r="N70">
        <f>93.262*(0.83)</f>
        <v>77.40746</v>
      </c>
      <c r="O70">
        <f>30089.898*(0.83)</f>
        <v>24974.61534</v>
      </c>
      <c r="P70">
        <f>9520190.0052*(0.83)</f>
        <v>7901757.7043160005</v>
      </c>
      <c r="Q70">
        <f>7838.76*(0.83)</f>
        <v>6506.1707999999999</v>
      </c>
      <c r="R70">
        <f>10615854.51108*(0.83)</f>
        <v>8811159.2441964</v>
      </c>
      <c r="S70" s="13">
        <v>743</v>
      </c>
      <c r="T70" s="13">
        <v>1</v>
      </c>
      <c r="U70" s="13">
        <v>744</v>
      </c>
      <c r="V70" s="13">
        <v>2</v>
      </c>
    </row>
    <row r="71" spans="1:22" ht="9" customHeight="1" x14ac:dyDescent="0.3">
      <c r="A71"/>
      <c r="B71" s="21"/>
      <c r="C71" s="14"/>
      <c r="D71" s="12"/>
      <c r="E71" s="12"/>
      <c r="F71" s="12"/>
      <c r="G71" s="12"/>
      <c r="H71" s="12"/>
      <c r="I71" s="13"/>
      <c r="J71">
        <f>0*(0.83)</f>
        <v>0</v>
      </c>
      <c r="K71">
        <v>0</v>
      </c>
      <c r="L71">
        <f t="shared" ref="L71:R71" si="10">0*(0.83)</f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  <c r="S71" s="13"/>
      <c r="T71" s="13"/>
      <c r="U71" s="13"/>
      <c r="V71" s="13"/>
    </row>
    <row r="72" spans="1:22" ht="14.4" x14ac:dyDescent="0.3">
      <c r="A72" s="21">
        <v>47</v>
      </c>
      <c r="B72" s="21">
        <f t="shared" si="0"/>
        <v>3264</v>
      </c>
      <c r="C72" s="14" t="s">
        <v>82</v>
      </c>
      <c r="D72" s="12">
        <v>3.5999999046325701</v>
      </c>
      <c r="E72" s="12">
        <v>5.5999999046325701</v>
      </c>
      <c r="F72" s="12">
        <v>3.2999999523162802</v>
      </c>
      <c r="G72" s="12">
        <v>-15</v>
      </c>
      <c r="H72" s="12">
        <v>-15.7</v>
      </c>
      <c r="I72" s="13">
        <v>34</v>
      </c>
      <c r="J72">
        <f>2065.97584*(0.83)</f>
        <v>1714.7599471999995</v>
      </c>
      <c r="K72">
        <v>16.350000000000001</v>
      </c>
      <c r="L72">
        <f>2918.86192*(0.83)</f>
        <v>2422.6553936</v>
      </c>
      <c r="M72">
        <f>3152.3708736*(0.83)</f>
        <v>2616.4678250880002</v>
      </c>
      <c r="N72">
        <f>158.276*(0.83)</f>
        <v>131.36908</v>
      </c>
      <c r="O72">
        <f>14213.174*(0.83)</f>
        <v>11796.93442</v>
      </c>
      <c r="P72">
        <f>6089428.90504*(0.83)</f>
        <v>5054225.9911831999</v>
      </c>
      <c r="Q72">
        <f>7546.21392*(0.83)</f>
        <v>6263.3575535999989</v>
      </c>
      <c r="R72">
        <f>7290720.855*(0.83)</f>
        <v>6051298.3096500002</v>
      </c>
      <c r="S72" s="13">
        <v>743</v>
      </c>
      <c r="T72" s="13">
        <v>1</v>
      </c>
      <c r="U72" s="13">
        <v>744</v>
      </c>
      <c r="V72" s="13">
        <v>2</v>
      </c>
    </row>
    <row r="73" spans="1:22" ht="14.4" x14ac:dyDescent="0.3">
      <c r="A73" s="21">
        <v>48</v>
      </c>
      <c r="B73" s="21">
        <f t="shared" si="0"/>
        <v>3268</v>
      </c>
      <c r="C73" s="14" t="s">
        <v>83</v>
      </c>
      <c r="D73" s="12">
        <v>3.5999999046325701</v>
      </c>
      <c r="E73" s="12">
        <v>5.0999999046325701</v>
      </c>
      <c r="F73" s="12">
        <v>3.2999999523162802</v>
      </c>
      <c r="G73" s="12">
        <v>-17</v>
      </c>
      <c r="H73" s="12">
        <v>-15.7</v>
      </c>
      <c r="I73" s="13">
        <v>25</v>
      </c>
      <c r="J73">
        <f>1502.2002*(0.83)</f>
        <v>1246.8261659999998</v>
      </c>
      <c r="K73">
        <v>16.108000000000001</v>
      </c>
      <c r="L73">
        <f>2394.09504*(0.83)</f>
        <v>1987.0988832</v>
      </c>
      <c r="M73">
        <f>2705.3273952*(0.83)</f>
        <v>2245.4217380160003</v>
      </c>
      <c r="N73">
        <f>91.792*(0.83)</f>
        <v>76.187359999999998</v>
      </c>
      <c r="O73">
        <f>9564.784*(0.83)</f>
        <v>7938.7707199999995</v>
      </c>
      <c r="P73">
        <f>5333782.95424*(0.83)</f>
        <v>4427039.8520192001</v>
      </c>
      <c r="Q73">
        <f>3700.32808*(0.83)</f>
        <v>3071.2723063999997</v>
      </c>
      <c r="R73">
        <f>5337100.48976*(0.83)</f>
        <v>4429793.4065007996</v>
      </c>
      <c r="S73" s="13">
        <v>743</v>
      </c>
      <c r="T73" s="13">
        <v>1</v>
      </c>
      <c r="U73" s="13">
        <v>744</v>
      </c>
      <c r="V73" s="13">
        <v>2</v>
      </c>
    </row>
    <row r="74" spans="1:22" ht="9" customHeight="1" x14ac:dyDescent="0.3">
      <c r="A74"/>
      <c r="B74" s="21"/>
      <c r="C74" s="14"/>
      <c r="D74" s="12"/>
      <c r="E74" s="12"/>
      <c r="F74" s="12"/>
      <c r="G74" s="12"/>
      <c r="H74" s="12"/>
      <c r="I74" s="13"/>
      <c r="J74">
        <f>0*(0.83)</f>
        <v>0</v>
      </c>
      <c r="K74">
        <v>0</v>
      </c>
      <c r="L74">
        <f t="shared" ref="L74:R74" si="11">0*(0.83)</f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 s="13"/>
      <c r="T74" s="13"/>
      <c r="U74" s="13"/>
      <c r="V74" s="13"/>
    </row>
    <row r="75" spans="1:22" ht="14.4" x14ac:dyDescent="0.3">
      <c r="A75" s="21">
        <v>49</v>
      </c>
      <c r="B75" s="21">
        <f t="shared" si="0"/>
        <v>3278</v>
      </c>
      <c r="C75" s="14" t="s">
        <v>84</v>
      </c>
      <c r="D75" s="12">
        <v>3.4000000953674299</v>
      </c>
      <c r="E75" s="12">
        <v>5</v>
      </c>
      <c r="F75" s="12">
        <v>3.2999999523162802</v>
      </c>
      <c r="G75" s="12">
        <v>-16</v>
      </c>
      <c r="H75" s="12">
        <v>-14.7</v>
      </c>
      <c r="I75" s="13">
        <v>27</v>
      </c>
      <c r="J75">
        <f>1623.27948*(0.83)</f>
        <v>1347.3219683999998</v>
      </c>
      <c r="K75">
        <v>16.292000000000002</v>
      </c>
      <c r="L75">
        <f>2298.09536*(0.83)</f>
        <v>1907.4191488000001</v>
      </c>
      <c r="M75">
        <f>2183.190592*(0.83)</f>
        <v>1812.0481913600001</v>
      </c>
      <c r="N75">
        <f>193.9*(0.83)</f>
        <v>160.93699999999998</v>
      </c>
      <c r="O75">
        <f>9959.272*(0.83)</f>
        <v>8266.1957600000005</v>
      </c>
      <c r="P75">
        <f>10897536.86744*(0.83)</f>
        <v>9044955.5999752004</v>
      </c>
      <c r="Q75">
        <f>10405.16532*(0.83)</f>
        <v>8636.2872155999994</v>
      </c>
      <c r="R75">
        <f>11095407.62524*(0.83)</f>
        <v>9209188.3289492</v>
      </c>
      <c r="S75" s="13">
        <v>743</v>
      </c>
      <c r="T75" s="13">
        <v>1</v>
      </c>
      <c r="U75" s="13">
        <v>744</v>
      </c>
      <c r="V75" s="13">
        <v>2</v>
      </c>
    </row>
    <row r="76" spans="1:22" ht="14.4" x14ac:dyDescent="0.3">
      <c r="A76" s="21">
        <v>50</v>
      </c>
      <c r="B76" s="21">
        <f t="shared" si="0"/>
        <v>3279</v>
      </c>
      <c r="C76" s="14" t="s">
        <v>85</v>
      </c>
      <c r="D76" s="12">
        <v>3.4000000953674299</v>
      </c>
      <c r="E76" s="12">
        <v>5.4000000953674299</v>
      </c>
      <c r="F76" s="12">
        <v>3.2999999523162802</v>
      </c>
      <c r="G76" s="12">
        <v>-8</v>
      </c>
      <c r="H76" s="12">
        <v>-14.7</v>
      </c>
      <c r="I76" s="13">
        <v>21</v>
      </c>
      <c r="J76">
        <f>1237.35334*(0.83)</f>
        <v>1027.0032722000001</v>
      </c>
      <c r="K76">
        <v>32.183999999999997</v>
      </c>
      <c r="L76">
        <f>1909.39676*(0.83)</f>
        <v>1584.7993108000001</v>
      </c>
      <c r="M76">
        <f>2138.5243712*(0.83)</f>
        <v>1774.9752280960001</v>
      </c>
      <c r="N76">
        <f>137.61*(0.83)</f>
        <v>114.2163</v>
      </c>
      <c r="O76">
        <f>9437.29*(0.83)</f>
        <v>7832.9507000000003</v>
      </c>
      <c r="P76">
        <f>11694918.15172*(0.83)</f>
        <v>9706782.0659276024</v>
      </c>
      <c r="Q76">
        <f>9642.27702*(0.83)</f>
        <v>8003.0899265999997</v>
      </c>
      <c r="R76">
        <f>12456827.20472*(0.83)</f>
        <v>10339166.579917599</v>
      </c>
      <c r="S76" s="13">
        <v>742</v>
      </c>
      <c r="T76" s="13">
        <v>2</v>
      </c>
      <c r="U76" s="13">
        <v>744</v>
      </c>
      <c r="V76" s="13">
        <v>2</v>
      </c>
    </row>
    <row r="77" spans="1:22" ht="9" customHeight="1" x14ac:dyDescent="0.3">
      <c r="A77"/>
      <c r="B77" s="21"/>
      <c r="C77" s="14"/>
      <c r="D77" s="12"/>
      <c r="E77" s="12"/>
      <c r="F77" s="12"/>
      <c r="G77" s="12"/>
      <c r="H77" s="12"/>
      <c r="I77" s="13"/>
      <c r="J77">
        <f>0*(0.83)</f>
        <v>0</v>
      </c>
      <c r="K77">
        <v>0</v>
      </c>
      <c r="L77">
        <f t="shared" ref="L77:R77" si="12">0*(0.83)</f>
        <v>0</v>
      </c>
      <c r="M77">
        <f t="shared" si="12"/>
        <v>0</v>
      </c>
      <c r="N77">
        <f t="shared" si="12"/>
        <v>0</v>
      </c>
      <c r="O77">
        <f t="shared" si="12"/>
        <v>0</v>
      </c>
      <c r="P77">
        <f t="shared" si="12"/>
        <v>0</v>
      </c>
      <c r="Q77">
        <f t="shared" si="12"/>
        <v>0</v>
      </c>
      <c r="R77">
        <f t="shared" si="12"/>
        <v>0</v>
      </c>
      <c r="S77" s="13"/>
      <c r="T77" s="13"/>
      <c r="U77" s="13"/>
      <c r="V77" s="13"/>
    </row>
    <row r="78" spans="1:22" ht="14.4" x14ac:dyDescent="0.3">
      <c r="A78" s="21">
        <v>51</v>
      </c>
      <c r="B78" s="21">
        <f t="shared" si="0"/>
        <v>3282</v>
      </c>
      <c r="C78" s="14" t="s">
        <v>86</v>
      </c>
      <c r="D78" s="12">
        <v>3.7999999523162802</v>
      </c>
      <c r="E78" s="12">
        <v>6</v>
      </c>
      <c r="F78" s="12">
        <v>3.2999999523162802</v>
      </c>
      <c r="G78" s="12">
        <v>-16</v>
      </c>
      <c r="H78" s="12">
        <v>-7.6</v>
      </c>
      <c r="I78" s="13">
        <v>91</v>
      </c>
      <c r="J78">
        <f>5477.33586*(0.83)</f>
        <v>4546.1887637999998</v>
      </c>
      <c r="K78">
        <v>16.326000000000001</v>
      </c>
      <c r="L78">
        <f>5606.43336*(0.83)</f>
        <v>4653.3396887999997</v>
      </c>
      <c r="M78">
        <f>5382.1760256*(0.83)</f>
        <v>4467.2061012479999</v>
      </c>
      <c r="N78">
        <f>121.416*(0.83)</f>
        <v>100.77528</v>
      </c>
      <c r="O78">
        <f>34116.274*(0.83)</f>
        <v>28316.507419999998</v>
      </c>
      <c r="P78">
        <f>9793870.6445*(0.83)</f>
        <v>8128912.634935</v>
      </c>
      <c r="Q78">
        <f>9466.97752*(0.83)</f>
        <v>7857.5913416000003</v>
      </c>
      <c r="R78">
        <f>11810247.422*(0.83)</f>
        <v>9802505.3602600005</v>
      </c>
      <c r="S78" s="13">
        <v>743</v>
      </c>
      <c r="T78" s="13">
        <v>1</v>
      </c>
      <c r="U78" s="13">
        <v>744</v>
      </c>
      <c r="V78" s="13">
        <v>2</v>
      </c>
    </row>
    <row r="79" spans="1:22" ht="14.4" x14ac:dyDescent="0.3">
      <c r="A79" s="21">
        <v>52</v>
      </c>
      <c r="B79" s="21">
        <f t="shared" si="0"/>
        <v>3285</v>
      </c>
      <c r="C79" s="14" t="s">
        <v>87</v>
      </c>
      <c r="D79" s="12">
        <v>3.7999999523162802</v>
      </c>
      <c r="E79" s="12">
        <v>4.6999998092651403</v>
      </c>
      <c r="F79" s="12">
        <v>3.2999999523162802</v>
      </c>
      <c r="G79" s="12">
        <v>-16</v>
      </c>
      <c r="H79" s="12">
        <v>-7.6</v>
      </c>
      <c r="I79" s="13">
        <v>27</v>
      </c>
      <c r="J79">
        <f>1469.66864*(0.83)</f>
        <v>1219.8249711999999</v>
      </c>
      <c r="K79">
        <v>16.283999999999999</v>
      </c>
      <c r="L79">
        <f>2259.72508*(0.83)</f>
        <v>1875.5718164</v>
      </c>
      <c r="M79">
        <f>1943.3635688*(0.83)</f>
        <v>1612.9917621040001</v>
      </c>
      <c r="N79">
        <f>119.126*(0.83)</f>
        <v>98.874579999999995</v>
      </c>
      <c r="O79">
        <f>10131.258*(0.83)</f>
        <v>8408.9441399999996</v>
      </c>
      <c r="P79">
        <f>9803265.99472*(0.83)</f>
        <v>8136710.7756176004</v>
      </c>
      <c r="Q79">
        <f>11927.3902*(0.83)</f>
        <v>9899.7338660000005</v>
      </c>
      <c r="R79">
        <f>12042991.52208*(0.83)</f>
        <v>9995682.9633264001</v>
      </c>
      <c r="S79" s="13">
        <v>743</v>
      </c>
      <c r="T79" s="13">
        <v>1</v>
      </c>
      <c r="U79" s="13">
        <v>744</v>
      </c>
      <c r="V79" s="13">
        <v>2</v>
      </c>
    </row>
    <row r="80" spans="1:22" ht="14.4" x14ac:dyDescent="0.3">
      <c r="A80" s="21">
        <v>53</v>
      </c>
      <c r="B80" s="21">
        <f t="shared" ref="B80:B142" si="13">C80+231</f>
        <v>3289</v>
      </c>
      <c r="C80" s="14" t="s">
        <v>88</v>
      </c>
      <c r="D80" s="12">
        <v>3.7999999523162802</v>
      </c>
      <c r="E80" s="12">
        <v>5.0999999046325701</v>
      </c>
      <c r="F80" s="12">
        <v>3.2999999523162802</v>
      </c>
      <c r="G80" s="12">
        <v>-15</v>
      </c>
      <c r="H80" s="12">
        <v>-7.6</v>
      </c>
      <c r="I80" s="13">
        <v>61</v>
      </c>
      <c r="J80">
        <f>3657.7827*(0.83)</f>
        <v>3035.9596409999995</v>
      </c>
      <c r="K80">
        <v>15.708</v>
      </c>
      <c r="L80">
        <f>6664.44768*(0.83)</f>
        <v>5531.4915744</v>
      </c>
      <c r="M80">
        <f>8130.6261696*(0.83)</f>
        <v>6748.4197207679999</v>
      </c>
      <c r="N80">
        <f>171.13*(0.83)</f>
        <v>142.03789999999998</v>
      </c>
      <c r="O80">
        <f>23170.516*(0.83)</f>
        <v>19231.528279999999</v>
      </c>
      <c r="P80">
        <f>14685632.65368*(0.83)</f>
        <v>12189075.1025544</v>
      </c>
      <c r="Q80">
        <f>10454.02218*(0.83)</f>
        <v>8676.8384094000012</v>
      </c>
      <c r="R80">
        <f>13863788.466*(0.83)</f>
        <v>11506944.42678</v>
      </c>
      <c r="S80" s="13">
        <v>743</v>
      </c>
      <c r="T80" s="13">
        <v>1</v>
      </c>
      <c r="U80" s="13">
        <v>744</v>
      </c>
      <c r="V80" s="13">
        <v>2</v>
      </c>
    </row>
    <row r="81" spans="1:22" ht="9" customHeight="1" x14ac:dyDescent="0.3">
      <c r="A81"/>
      <c r="B81" s="21"/>
      <c r="C81" s="14"/>
      <c r="D81" s="12"/>
      <c r="E81" s="12"/>
      <c r="F81" s="12"/>
      <c r="G81" s="12"/>
      <c r="H81" s="12"/>
      <c r="I81" s="13"/>
      <c r="J81">
        <f>0*(0.83)</f>
        <v>0</v>
      </c>
      <c r="K81">
        <v>0</v>
      </c>
      <c r="L81">
        <f t="shared" ref="L81:R81" si="14">0*(0.83)</f>
        <v>0</v>
      </c>
      <c r="M81">
        <f t="shared" si="14"/>
        <v>0</v>
      </c>
      <c r="N81">
        <f t="shared" si="14"/>
        <v>0</v>
      </c>
      <c r="O81">
        <f t="shared" si="14"/>
        <v>0</v>
      </c>
      <c r="P81">
        <f t="shared" si="14"/>
        <v>0</v>
      </c>
      <c r="Q81">
        <f t="shared" si="14"/>
        <v>0</v>
      </c>
      <c r="R81">
        <f t="shared" si="14"/>
        <v>0</v>
      </c>
      <c r="S81" s="13"/>
      <c r="T81" s="13"/>
      <c r="U81" s="13"/>
      <c r="V81" s="13"/>
    </row>
    <row r="82" spans="1:22" ht="14.4" x14ac:dyDescent="0.3">
      <c r="A82" s="21">
        <v>54</v>
      </c>
      <c r="B82" s="21">
        <f t="shared" si="13"/>
        <v>3305</v>
      </c>
      <c r="C82" s="14" t="s">
        <v>89</v>
      </c>
      <c r="D82" s="12">
        <v>3.7999999523162802</v>
      </c>
      <c r="E82" s="12">
        <v>5.9000000953674299</v>
      </c>
      <c r="F82" s="12">
        <v>3.2999999523162802</v>
      </c>
      <c r="G82" s="12">
        <v>-27</v>
      </c>
      <c r="H82" s="12">
        <v>1.7</v>
      </c>
      <c r="I82" s="13">
        <v>23</v>
      </c>
      <c r="J82">
        <f>1387.59858*(0.83)</f>
        <v>1151.7068213999999</v>
      </c>
      <c r="K82">
        <v>32.840000000000003</v>
      </c>
      <c r="L82">
        <f>2531.60242*(0.83)</f>
        <v>2101.2300086</v>
      </c>
      <c r="M82">
        <f>2253.1261538*(0.83)</f>
        <v>1870.0947076540001</v>
      </c>
      <c r="N82">
        <f>158.014*(0.83)</f>
        <v>131.15162000000001</v>
      </c>
      <c r="O82">
        <f>9718.868*(0.83)</f>
        <v>8066.6604399999997</v>
      </c>
      <c r="P82">
        <f>5407092.3996*(0.83)</f>
        <v>4487886.6916680001</v>
      </c>
      <c r="Q82">
        <f>6971.51862*(0.83)</f>
        <v>5786.3604545999997</v>
      </c>
      <c r="R82">
        <f>5467356.30554*(0.83)</f>
        <v>4537905.7335981997</v>
      </c>
      <c r="S82" s="13">
        <v>742</v>
      </c>
      <c r="T82" s="13">
        <v>2</v>
      </c>
      <c r="U82" s="13">
        <v>744</v>
      </c>
      <c r="V82" s="13">
        <v>2</v>
      </c>
    </row>
    <row r="83" spans="1:22" ht="14.4" x14ac:dyDescent="0.3">
      <c r="A83" s="21">
        <v>55</v>
      </c>
      <c r="B83" s="21">
        <f t="shared" si="13"/>
        <v>3306</v>
      </c>
      <c r="C83" s="14" t="s">
        <v>90</v>
      </c>
      <c r="D83" s="12">
        <v>3.7999999523162802</v>
      </c>
      <c r="E83" s="12">
        <v>5.5999999046325701</v>
      </c>
      <c r="F83" s="12">
        <v>3.2999999523162802</v>
      </c>
      <c r="G83" s="12">
        <v>10.3</v>
      </c>
      <c r="H83" s="12">
        <v>1.7</v>
      </c>
      <c r="I83" s="13">
        <v>86</v>
      </c>
      <c r="J83">
        <f>5079.85896*(0.83)</f>
        <v>4216.2829367999993</v>
      </c>
      <c r="K83">
        <v>46.81</v>
      </c>
      <c r="L83">
        <f>6763.23584*(0.83)</f>
        <v>5613.4857472000003</v>
      </c>
      <c r="M83">
        <f>7574.8241408*(0.83)</f>
        <v>6287.1040368640006</v>
      </c>
      <c r="N83">
        <f>119.182*(0.83)</f>
        <v>98.921059999999997</v>
      </c>
      <c r="O83">
        <f>41365.514*(0.83)</f>
        <v>34333.376620000003</v>
      </c>
      <c r="P83">
        <f>11070707.24304*(0.83)</f>
        <v>9188687.011723198</v>
      </c>
      <c r="Q83">
        <f>8119.5576*(0.83)</f>
        <v>6739.2328079999997</v>
      </c>
      <c r="R83">
        <f>12599101.63392*(0.83)</f>
        <v>10457254.356153598</v>
      </c>
      <c r="S83" s="13">
        <v>734</v>
      </c>
      <c r="T83" s="13">
        <v>10</v>
      </c>
      <c r="U83" s="13">
        <v>744</v>
      </c>
      <c r="V83" s="13">
        <v>1</v>
      </c>
    </row>
    <row r="84" spans="1:22" ht="9" customHeight="1" x14ac:dyDescent="0.3">
      <c r="A84"/>
      <c r="B84" s="21"/>
      <c r="C84" s="14"/>
      <c r="D84" s="12"/>
      <c r="E84" s="12"/>
      <c r="F84" s="12"/>
      <c r="G84" s="12"/>
      <c r="H84" s="12"/>
      <c r="I84" s="13"/>
      <c r="J84">
        <f>0*(0.83)</f>
        <v>0</v>
      </c>
      <c r="K84">
        <v>0</v>
      </c>
      <c r="L84">
        <f t="shared" ref="L84:R84" si="15">0*(0.83)</f>
        <v>0</v>
      </c>
      <c r="M84">
        <f t="shared" si="15"/>
        <v>0</v>
      </c>
      <c r="N84">
        <f t="shared" si="15"/>
        <v>0</v>
      </c>
      <c r="O84">
        <f t="shared" si="15"/>
        <v>0</v>
      </c>
      <c r="P84">
        <f t="shared" si="15"/>
        <v>0</v>
      </c>
      <c r="Q84">
        <f t="shared" si="15"/>
        <v>0</v>
      </c>
      <c r="R84">
        <f t="shared" si="15"/>
        <v>0</v>
      </c>
      <c r="S84" s="13"/>
      <c r="T84" s="13"/>
      <c r="U84" s="13"/>
      <c r="V84" s="13"/>
    </row>
    <row r="85" spans="1:22" ht="14.4" x14ac:dyDescent="0.3">
      <c r="A85" s="21">
        <v>56</v>
      </c>
      <c r="B85" s="21">
        <f t="shared" si="13"/>
        <v>3317</v>
      </c>
      <c r="C85" s="14" t="s">
        <v>91</v>
      </c>
      <c r="D85" s="12">
        <v>3.4000000953674299</v>
      </c>
      <c r="E85" s="12">
        <v>5.9000000953674299</v>
      </c>
      <c r="F85" s="12">
        <v>3.2999999523162802</v>
      </c>
      <c r="G85" s="12">
        <v>-14</v>
      </c>
      <c r="H85" s="12">
        <v>-14.8</v>
      </c>
      <c r="I85" s="13">
        <v>40</v>
      </c>
      <c r="J85">
        <f>2389.71722*(0.83)</f>
        <v>1983.4652925999999</v>
      </c>
      <c r="K85">
        <v>33.176000000000002</v>
      </c>
      <c r="L85">
        <f>4344.43548*(0.83)</f>
        <v>3605.8814484</v>
      </c>
      <c r="M85">
        <f>4214.1024156*(0.83)</f>
        <v>3497.7050049479999</v>
      </c>
      <c r="N85">
        <f>58.322*(0.83)</f>
        <v>48.407260000000001</v>
      </c>
      <c r="O85">
        <f>8673.768*(0.83)</f>
        <v>7199.2274399999997</v>
      </c>
      <c r="P85">
        <f>2823627.6054*(0.83)</f>
        <v>2343610.912482</v>
      </c>
      <c r="Q85">
        <f>2020.51124*(0.83)</f>
        <v>1677.0243292</v>
      </c>
      <c r="R85">
        <f>2717747.38192*(0.83)</f>
        <v>2255730.3269936</v>
      </c>
      <c r="S85" s="13">
        <v>742</v>
      </c>
      <c r="T85" s="13">
        <v>2</v>
      </c>
      <c r="U85" s="13">
        <v>744</v>
      </c>
      <c r="V85" s="13">
        <v>2</v>
      </c>
    </row>
    <row r="86" spans="1:22" ht="9" customHeight="1" x14ac:dyDescent="0.3">
      <c r="A86"/>
      <c r="B86" s="21"/>
      <c r="C86" s="14"/>
      <c r="D86" s="12"/>
      <c r="E86" s="12"/>
      <c r="F86" s="12"/>
      <c r="G86" s="12"/>
      <c r="H86" s="12"/>
      <c r="I86" s="13"/>
      <c r="J86">
        <f>0*(0.83)</f>
        <v>0</v>
      </c>
      <c r="K86">
        <v>0</v>
      </c>
      <c r="L86">
        <f t="shared" ref="L86:R86" si="16">0*(0.83)</f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  <c r="Q86">
        <f t="shared" si="16"/>
        <v>0</v>
      </c>
      <c r="R86">
        <f t="shared" si="16"/>
        <v>0</v>
      </c>
      <c r="S86" s="13"/>
      <c r="T86" s="13"/>
      <c r="U86" s="13"/>
      <c r="V86" s="13"/>
    </row>
    <row r="87" spans="1:22" ht="14.4" x14ac:dyDescent="0.3">
      <c r="A87" s="21">
        <v>57</v>
      </c>
      <c r="B87" s="21">
        <f t="shared" si="13"/>
        <v>3332</v>
      </c>
      <c r="C87" s="14" t="s">
        <v>92</v>
      </c>
      <c r="D87" s="12">
        <v>3.7999999523162802</v>
      </c>
      <c r="E87" s="12">
        <v>5.1999998092651403</v>
      </c>
      <c r="F87" s="12">
        <v>3.2999999523162802</v>
      </c>
      <c r="G87" s="12">
        <v>-16</v>
      </c>
      <c r="H87" s="12">
        <v>-10.4</v>
      </c>
      <c r="I87" s="13">
        <v>45</v>
      </c>
      <c r="J87">
        <f>2696.4157*(0.83)</f>
        <v>2238.0250310000001</v>
      </c>
      <c r="K87">
        <v>16.641999999999999</v>
      </c>
      <c r="L87">
        <f>3942.99732*(0.83)</f>
        <v>3272.6877755999999</v>
      </c>
      <c r="M87">
        <f>3864.1373736*(0.83)</f>
        <v>3207.2340200879999</v>
      </c>
      <c r="N87">
        <f>143.382*(0.83)</f>
        <v>119.00706</v>
      </c>
      <c r="O87">
        <f>16766.886*(0.83)</f>
        <v>13916.515379999999</v>
      </c>
      <c r="P87">
        <f>8409551.7374*(0.83)</f>
        <v>6979927.9420420006</v>
      </c>
      <c r="Q87">
        <f>11958.30498*(0.83)</f>
        <v>9925.3931334000008</v>
      </c>
      <c r="R87">
        <f>7656017.956*(0.83)</f>
        <v>6354494.9034799999</v>
      </c>
      <c r="S87" s="13">
        <v>743</v>
      </c>
      <c r="T87" s="13">
        <v>1</v>
      </c>
      <c r="U87" s="13">
        <v>744</v>
      </c>
      <c r="V87" s="13">
        <v>2</v>
      </c>
    </row>
    <row r="88" spans="1:22" ht="14.4" x14ac:dyDescent="0.3">
      <c r="A88" s="21">
        <v>58</v>
      </c>
      <c r="B88" s="21">
        <f t="shared" si="13"/>
        <v>3333</v>
      </c>
      <c r="C88" s="14" t="s">
        <v>93</v>
      </c>
      <c r="D88" s="12">
        <v>3.7999999523162802</v>
      </c>
      <c r="E88" s="12">
        <v>5.4000000953674299</v>
      </c>
      <c r="F88" s="12">
        <v>3.2999999523162802</v>
      </c>
      <c r="G88" s="12">
        <v>-16</v>
      </c>
      <c r="H88" s="12">
        <v>-10.4</v>
      </c>
      <c r="I88" s="13">
        <v>32</v>
      </c>
      <c r="J88">
        <f>1931.98392*(0.83)</f>
        <v>1603.5466536000001</v>
      </c>
      <c r="K88">
        <v>16.942</v>
      </c>
      <c r="L88">
        <f>3133.53768*(0.83)</f>
        <v>2600.8362744000001</v>
      </c>
      <c r="M88">
        <f>3070.8669264*(0.83)</f>
        <v>2548.8195489120003</v>
      </c>
      <c r="N88">
        <f>142.14*(0.83)</f>
        <v>117.97619999999998</v>
      </c>
      <c r="O88">
        <f>12144.008*(0.83)</f>
        <v>10079.52664</v>
      </c>
      <c r="P88">
        <f>10589711.2776*(0.83)</f>
        <v>8789460.3604079988</v>
      </c>
      <c r="Q88">
        <f>8131.60628*(0.83)</f>
        <v>6749.2332124000004</v>
      </c>
      <c r="R88">
        <f>10601467.8168*(0.83)</f>
        <v>8799218.2879440002</v>
      </c>
      <c r="S88" s="13">
        <v>743</v>
      </c>
      <c r="T88" s="13">
        <v>1</v>
      </c>
      <c r="U88" s="13">
        <v>744</v>
      </c>
      <c r="V88" s="13">
        <v>2</v>
      </c>
    </row>
    <row r="89" spans="1:22" ht="14.4" x14ac:dyDescent="0.3">
      <c r="A89" s="21">
        <v>59</v>
      </c>
      <c r="B89" s="21">
        <f t="shared" si="13"/>
        <v>3334</v>
      </c>
      <c r="C89" s="14" t="s">
        <v>94</v>
      </c>
      <c r="D89" s="12">
        <v>3.7999999523162802</v>
      </c>
      <c r="E89" s="12">
        <v>5.5999999046325701</v>
      </c>
      <c r="F89" s="12">
        <v>3.2999999523162802</v>
      </c>
      <c r="G89" s="12">
        <v>-6.8</v>
      </c>
      <c r="H89" s="12">
        <v>-10.4</v>
      </c>
      <c r="I89" s="13">
        <v>75</v>
      </c>
      <c r="J89">
        <f>4492.846*(0.83)</f>
        <v>3729.0621800000004</v>
      </c>
      <c r="K89">
        <v>16.283999999999999</v>
      </c>
      <c r="L89">
        <f>6460.83676*(0.83)</f>
        <v>5362.4945108000002</v>
      </c>
      <c r="M89">
        <f>5879.3614516*(0.83)</f>
        <v>4879.8700048280007</v>
      </c>
      <c r="N89">
        <f>16.616*(0.83)</f>
        <v>13.791279999999999</v>
      </c>
      <c r="O89">
        <f>28962.456*(0.83)</f>
        <v>24038.838479999999</v>
      </c>
      <c r="P89">
        <f>11710885.89242*(0.83)</f>
        <v>9720035.2907086015</v>
      </c>
      <c r="Q89">
        <f>11095.4604*(0.83)</f>
        <v>9209.232132000001</v>
      </c>
      <c r="R89">
        <f>10580815.66788*(0.83)</f>
        <v>8782077.0043404009</v>
      </c>
      <c r="S89" s="13">
        <v>743</v>
      </c>
      <c r="T89" s="13">
        <v>1</v>
      </c>
      <c r="U89" s="13">
        <v>744</v>
      </c>
      <c r="V89" s="13">
        <v>2</v>
      </c>
    </row>
    <row r="90" spans="1:22" ht="14.4" x14ac:dyDescent="0.3">
      <c r="A90" s="21">
        <v>60</v>
      </c>
      <c r="B90" s="21">
        <f t="shared" si="13"/>
        <v>3335</v>
      </c>
      <c r="C90" s="14" t="s">
        <v>95</v>
      </c>
      <c r="D90" s="12">
        <v>3.7999999523162802</v>
      </c>
      <c r="E90" s="12">
        <v>5</v>
      </c>
      <c r="F90" s="12">
        <v>3.2999999523162802</v>
      </c>
      <c r="G90" s="12">
        <v>-16</v>
      </c>
      <c r="H90" s="12">
        <v>-10.4</v>
      </c>
      <c r="I90" s="13">
        <v>32</v>
      </c>
      <c r="J90">
        <f>1934.9269*(0.83)</f>
        <v>1605.9893269999998</v>
      </c>
      <c r="K90">
        <v>16.033999999999999</v>
      </c>
      <c r="L90">
        <f>2493.39696*(0.83)</f>
        <v>2069.5194768000001</v>
      </c>
      <c r="M90">
        <f>2144.3213856*(0.83)</f>
        <v>1779.7867500480002</v>
      </c>
      <c r="N90">
        <f>168.184*(0.83)</f>
        <v>139.59271999999999</v>
      </c>
      <c r="O90">
        <f>12488.326*(0.83)</f>
        <v>10365.310579999999</v>
      </c>
      <c r="P90">
        <f>7033010.93118*(0.83)</f>
        <v>5837399.0728793992</v>
      </c>
      <c r="Q90">
        <f>14333.02104*(0.83)</f>
        <v>11896.407463199999</v>
      </c>
      <c r="R90">
        <f>7167687.82758*(0.83)</f>
        <v>5949180.8968914002</v>
      </c>
      <c r="S90" s="13">
        <v>743</v>
      </c>
      <c r="T90" s="13">
        <v>1</v>
      </c>
      <c r="U90" s="13">
        <v>744</v>
      </c>
      <c r="V90" s="13">
        <v>2</v>
      </c>
    </row>
    <row r="91" spans="1:22" ht="9" customHeight="1" x14ac:dyDescent="0.3">
      <c r="A91"/>
      <c r="B91" s="21"/>
      <c r="C91" s="14"/>
      <c r="D91" s="12"/>
      <c r="E91" s="12"/>
      <c r="F91" s="12"/>
      <c r="G91" s="12"/>
      <c r="H91" s="12"/>
      <c r="I91" s="13"/>
      <c r="J91">
        <f>0*(0.83)</f>
        <v>0</v>
      </c>
      <c r="K91">
        <v>0</v>
      </c>
      <c r="L91">
        <f t="shared" ref="L91:R91" si="17">0*(0.83)</f>
        <v>0</v>
      </c>
      <c r="M91">
        <f t="shared" si="17"/>
        <v>0</v>
      </c>
      <c r="N91">
        <f t="shared" si="17"/>
        <v>0</v>
      </c>
      <c r="O91">
        <f t="shared" si="17"/>
        <v>0</v>
      </c>
      <c r="P91">
        <f t="shared" si="17"/>
        <v>0</v>
      </c>
      <c r="Q91">
        <f t="shared" si="17"/>
        <v>0</v>
      </c>
      <c r="R91">
        <f t="shared" si="17"/>
        <v>0</v>
      </c>
      <c r="S91" s="13"/>
      <c r="T91" s="13"/>
      <c r="U91" s="13"/>
      <c r="V91" s="13"/>
    </row>
    <row r="92" spans="1:22" ht="14.4" x14ac:dyDescent="0.3">
      <c r="A92" s="21">
        <v>61</v>
      </c>
      <c r="B92" s="21">
        <f t="shared" si="13"/>
        <v>3342</v>
      </c>
      <c r="C92" s="14" t="s">
        <v>96</v>
      </c>
      <c r="D92" s="12">
        <v>3.5999999046325701</v>
      </c>
      <c r="E92" s="12">
        <v>4.8000001907348597</v>
      </c>
      <c r="F92" s="12">
        <v>3.2999999523162802</v>
      </c>
      <c r="G92" s="12">
        <v>4.5</v>
      </c>
      <c r="H92" s="12">
        <v>-3.9</v>
      </c>
      <c r="I92" s="13">
        <v>52</v>
      </c>
      <c r="J92">
        <f>3141.84552*(0.83)</f>
        <v>2607.7317816</v>
      </c>
      <c r="K92">
        <v>32.725999999999999</v>
      </c>
      <c r="L92">
        <f>2748.26328*(0.83)</f>
        <v>2281.0585224000001</v>
      </c>
      <c r="M92">
        <f>3050.5722408*(0.83)</f>
        <v>2531.9749598640005</v>
      </c>
      <c r="N92">
        <f>120.45*(0.83)</f>
        <v>99.973500000000001</v>
      </c>
      <c r="O92">
        <f>20402.084*(0.83)</f>
        <v>16933.729719999999</v>
      </c>
      <c r="P92">
        <f>9891526.0312*(0.83)</f>
        <v>8209966.6058960008</v>
      </c>
      <c r="Q92">
        <f>10283.136*(0.83)</f>
        <v>8535.00288</v>
      </c>
      <c r="R92">
        <f>10011556.3953*(0.83)</f>
        <v>8309591.8080989989</v>
      </c>
      <c r="S92" s="13">
        <v>742</v>
      </c>
      <c r="T92" s="13">
        <v>2</v>
      </c>
      <c r="U92" s="13">
        <v>744</v>
      </c>
      <c r="V92" s="13">
        <v>2</v>
      </c>
    </row>
    <row r="93" spans="1:22" ht="14.4" x14ac:dyDescent="0.3">
      <c r="A93" s="21">
        <v>62</v>
      </c>
      <c r="B93" s="21">
        <f t="shared" si="13"/>
        <v>3344</v>
      </c>
      <c r="C93" s="14" t="s">
        <v>97</v>
      </c>
      <c r="D93" s="12">
        <v>3.5999999046325701</v>
      </c>
      <c r="E93" s="12">
        <v>4.9000000953674299</v>
      </c>
      <c r="F93" s="12">
        <v>3.2999999523162802</v>
      </c>
      <c r="G93" s="12">
        <v>-26</v>
      </c>
      <c r="H93" s="12">
        <v>-3.9</v>
      </c>
      <c r="I93" s="13">
        <v>68</v>
      </c>
      <c r="J93">
        <f>4098.55652*(0.83)</f>
        <v>3401.8019116</v>
      </c>
      <c r="K93">
        <v>16.899999999999999</v>
      </c>
      <c r="L93">
        <f>4793.70408*(0.83)</f>
        <v>3978.7743864000004</v>
      </c>
      <c r="M93">
        <f>4074.648468*(0.83)</f>
        <v>3381.9582284400003</v>
      </c>
      <c r="N93">
        <f>163.112*(0.83)</f>
        <v>135.38296</v>
      </c>
      <c r="O93">
        <f>25383.52*(0.83)</f>
        <v>21068.321599999999</v>
      </c>
      <c r="P93">
        <f>10382436.92024*(0.83)</f>
        <v>8617422.6437991988</v>
      </c>
      <c r="Q93">
        <f>8015.9862*(0.83)</f>
        <v>6653.2685460000002</v>
      </c>
      <c r="R93">
        <f>8905833.04632*(0.83)</f>
        <v>7391841.4284456</v>
      </c>
      <c r="S93" s="13">
        <v>743</v>
      </c>
      <c r="T93" s="13">
        <v>1</v>
      </c>
      <c r="U93" s="13">
        <v>744</v>
      </c>
      <c r="V93" s="13">
        <v>2</v>
      </c>
    </row>
    <row r="94" spans="1:22" ht="9" customHeight="1" x14ac:dyDescent="0.3">
      <c r="A94"/>
      <c r="B94" s="21"/>
      <c r="C94" s="14"/>
      <c r="D94" s="12"/>
      <c r="E94" s="12"/>
      <c r="F94" s="12"/>
      <c r="G94" s="12"/>
      <c r="H94" s="12"/>
      <c r="I94" s="13"/>
      <c r="J94">
        <f>0*(0.83)</f>
        <v>0</v>
      </c>
      <c r="K94">
        <v>0</v>
      </c>
      <c r="L94">
        <f t="shared" ref="L94:R94" si="18">0*(0.83)</f>
        <v>0</v>
      </c>
      <c r="M94">
        <f t="shared" si="18"/>
        <v>0</v>
      </c>
      <c r="N94">
        <f t="shared" si="18"/>
        <v>0</v>
      </c>
      <c r="O94">
        <f t="shared" si="18"/>
        <v>0</v>
      </c>
      <c r="P94">
        <f t="shared" si="18"/>
        <v>0</v>
      </c>
      <c r="Q94">
        <f t="shared" si="18"/>
        <v>0</v>
      </c>
      <c r="R94">
        <f t="shared" si="18"/>
        <v>0</v>
      </c>
      <c r="S94" s="13"/>
      <c r="T94" s="13"/>
      <c r="U94" s="13"/>
      <c r="V94" s="13"/>
    </row>
    <row r="95" spans="1:22" ht="14.4" x14ac:dyDescent="0.3">
      <c r="A95" s="21">
        <v>63</v>
      </c>
      <c r="B95" s="21">
        <f t="shared" si="13"/>
        <v>3352</v>
      </c>
      <c r="C95" s="14" t="s">
        <v>98</v>
      </c>
      <c r="D95" s="12">
        <v>3.4000000953674299</v>
      </c>
      <c r="E95" s="12">
        <v>5.5</v>
      </c>
      <c r="F95" s="12">
        <v>3.2999999523162802</v>
      </c>
      <c r="G95" s="12">
        <v>4.3</v>
      </c>
      <c r="H95" s="12">
        <v>-13.8</v>
      </c>
      <c r="I95" s="13">
        <v>45</v>
      </c>
      <c r="J95">
        <f>2692.39214*(0.83)</f>
        <v>2234.6854761999998</v>
      </c>
      <c r="K95">
        <v>0</v>
      </c>
      <c r="L95">
        <f>4219.00624*(0.83)</f>
        <v>3501.7751791999995</v>
      </c>
      <c r="M95">
        <f>3881.4857408*(0.83)</f>
        <v>3221.6331648639998</v>
      </c>
      <c r="N95">
        <f>143.484*(0.83)</f>
        <v>119.09172</v>
      </c>
      <c r="O95">
        <f>15088.694*(0.83)</f>
        <v>12523.616019999999</v>
      </c>
      <c r="P95">
        <f>6267578.3566*(0.83)</f>
        <v>5202090.0359779997</v>
      </c>
      <c r="Q95">
        <f>9737.03424*(0.83)</f>
        <v>8081.738419199999</v>
      </c>
      <c r="R95">
        <f>6493260.30722*(0.83)</f>
        <v>5389406.0549925994</v>
      </c>
      <c r="S95" s="13">
        <v>743</v>
      </c>
      <c r="T95" s="13">
        <v>1</v>
      </c>
      <c r="U95" s="13">
        <v>744</v>
      </c>
      <c r="V95" s="13">
        <v>1</v>
      </c>
    </row>
    <row r="96" spans="1:22" ht="14.4" x14ac:dyDescent="0.3">
      <c r="A96" s="21">
        <v>64</v>
      </c>
      <c r="B96" s="21">
        <f t="shared" si="13"/>
        <v>3353</v>
      </c>
      <c r="C96" s="14" t="s">
        <v>99</v>
      </c>
      <c r="D96" s="12">
        <v>3.4000000953674299</v>
      </c>
      <c r="E96" s="12">
        <v>5</v>
      </c>
      <c r="F96" s="12">
        <v>3.2999999523162802</v>
      </c>
      <c r="G96" s="12">
        <v>-5.5</v>
      </c>
      <c r="H96" s="12">
        <v>-13.8</v>
      </c>
      <c r="I96" s="13">
        <v>40</v>
      </c>
      <c r="J96">
        <f>2427.231*(0.83)</f>
        <v>2014.6017300000001</v>
      </c>
      <c r="K96">
        <v>0</v>
      </c>
      <c r="L96">
        <f>4479.117*(0.83)</f>
        <v>3717.6671099999999</v>
      </c>
      <c r="M96">
        <f>4658.28168*(0.83)</f>
        <v>3866.3737944</v>
      </c>
      <c r="N96">
        <f>112.398*(0.83)</f>
        <v>93.290339999999986</v>
      </c>
      <c r="O96">
        <f>15775.036*(0.83)</f>
        <v>13093.27988</v>
      </c>
      <c r="P96">
        <f>6853234.5819*(0.83)</f>
        <v>5688184.7029769998</v>
      </c>
      <c r="Q96">
        <f>7209.8649*(0.83)</f>
        <v>5984.1878669999996</v>
      </c>
      <c r="R96">
        <f>6795106.88064*(0.83)</f>
        <v>5639938.7109312005</v>
      </c>
      <c r="S96" s="13">
        <v>743</v>
      </c>
      <c r="T96" s="13">
        <v>1</v>
      </c>
      <c r="U96" s="13">
        <v>744</v>
      </c>
      <c r="V96" s="13">
        <v>1</v>
      </c>
    </row>
    <row r="97" spans="1:22" ht="14.4" x14ac:dyDescent="0.3">
      <c r="A97" s="21">
        <v>65</v>
      </c>
      <c r="B97" s="21">
        <f t="shared" si="13"/>
        <v>3354</v>
      </c>
      <c r="C97" s="14" t="s">
        <v>100</v>
      </c>
      <c r="D97" s="12">
        <v>3.4000000953674299</v>
      </c>
      <c r="E97" s="12">
        <v>5</v>
      </c>
      <c r="F97" s="12">
        <v>3.2999999523162802</v>
      </c>
      <c r="G97" s="12">
        <v>-7</v>
      </c>
      <c r="H97" s="12">
        <v>-13.8</v>
      </c>
      <c r="I97" s="13">
        <v>26</v>
      </c>
      <c r="J97">
        <f>1736.8978*(0.83)</f>
        <v>1441.625174</v>
      </c>
      <c r="K97">
        <v>0</v>
      </c>
      <c r="L97">
        <f>2668.50662*(0.83)</f>
        <v>2214.8604946</v>
      </c>
      <c r="M97">
        <f>2721.8767524*(0.83)</f>
        <v>2259.157704492</v>
      </c>
      <c r="N97">
        <f>161.41*(0.83)</f>
        <v>133.97029999999998</v>
      </c>
      <c r="O97">
        <f>10273.742*(0.83)</f>
        <v>8527.20586</v>
      </c>
      <c r="P97">
        <f>6094635.3666*(0.83)</f>
        <v>5058547.3542779991</v>
      </c>
      <c r="Q97">
        <f>6615.1654*(0.83)</f>
        <v>5490.5872819999995</v>
      </c>
      <c r="R97">
        <f>6964455.2675*(0.83)</f>
        <v>5780497.8720250009</v>
      </c>
      <c r="S97" s="13">
        <v>743</v>
      </c>
      <c r="T97" s="13">
        <v>1</v>
      </c>
      <c r="U97" s="13">
        <v>744</v>
      </c>
      <c r="V97" s="13">
        <v>1</v>
      </c>
    </row>
    <row r="98" spans="1:22" ht="14.4" x14ac:dyDescent="0.3">
      <c r="A98" s="21">
        <v>66</v>
      </c>
      <c r="B98" s="21">
        <f t="shared" si="13"/>
        <v>3355</v>
      </c>
      <c r="C98" s="14" t="s">
        <v>101</v>
      </c>
      <c r="D98" s="12">
        <v>3.4000000953674299</v>
      </c>
      <c r="E98" s="12">
        <v>5.3000001907348597</v>
      </c>
      <c r="F98" s="12">
        <v>3.2999999523162802</v>
      </c>
      <c r="G98" s="12">
        <v>-27</v>
      </c>
      <c r="H98" s="12">
        <v>-13.8</v>
      </c>
      <c r="I98" s="13">
        <v>47</v>
      </c>
      <c r="J98">
        <f>2826.68282*(0.83)</f>
        <v>2346.1467405999997</v>
      </c>
      <c r="K98">
        <v>32.549999999999997</v>
      </c>
      <c r="L98">
        <f>4243.18464*(0.83)</f>
        <v>3521.8432511999995</v>
      </c>
      <c r="M98">
        <f>4073.4572544*(0.83)</f>
        <v>3380.9695211519993</v>
      </c>
      <c r="N98">
        <f>149.056*(0.83)</f>
        <v>123.71648</v>
      </c>
      <c r="O98">
        <f>18964.802*(0.83)</f>
        <v>15740.78566</v>
      </c>
      <c r="P98">
        <f>5317516.761*(0.83)</f>
        <v>4413538.9116300009</v>
      </c>
      <c r="Q98">
        <f>7670.22592*(0.83)</f>
        <v>6366.2875136000002</v>
      </c>
      <c r="R98">
        <f>7888598.99268*(0.83)</f>
        <v>6547537.1639243998</v>
      </c>
      <c r="S98" s="13">
        <v>741</v>
      </c>
      <c r="T98" s="13">
        <v>3</v>
      </c>
      <c r="U98" s="13">
        <v>744</v>
      </c>
      <c r="V98" s="13">
        <v>2</v>
      </c>
    </row>
    <row r="99" spans="1:22" ht="14.4" x14ac:dyDescent="0.3">
      <c r="A99" s="21">
        <v>67</v>
      </c>
      <c r="B99" s="21">
        <f t="shared" si="13"/>
        <v>3356</v>
      </c>
      <c r="C99" s="14" t="s">
        <v>102</v>
      </c>
      <c r="D99" s="12">
        <v>3.4000000953674299</v>
      </c>
      <c r="E99" s="12">
        <v>5.3000001907348597</v>
      </c>
      <c r="F99" s="12">
        <v>3.2999999523162802</v>
      </c>
      <c r="G99" s="12">
        <v>-6</v>
      </c>
      <c r="H99" s="12">
        <v>-13.8</v>
      </c>
      <c r="I99" s="13">
        <v>44</v>
      </c>
      <c r="J99">
        <f>2653.65422*(0.83)</f>
        <v>2202.5330025999997</v>
      </c>
      <c r="K99">
        <v>0</v>
      </c>
      <c r="L99">
        <f>4404.51886*(0.83)</f>
        <v>3655.7506537999998</v>
      </c>
      <c r="M99">
        <f>4404.51886*(0.83)</f>
        <v>3655.7506537999998</v>
      </c>
      <c r="N99">
        <f>68.632*(0.83)</f>
        <v>56.964559999999999</v>
      </c>
      <c r="O99">
        <f>17676.144*(0.83)</f>
        <v>14671.19952</v>
      </c>
      <c r="P99">
        <f>6105350.55546*(0.83)</f>
        <v>5067440.9610318001</v>
      </c>
      <c r="Q99">
        <f>16600.32772*(0.83)</f>
        <v>13778.272007599997</v>
      </c>
      <c r="R99">
        <f>6068951.99024*(0.83)</f>
        <v>5037230.151899199</v>
      </c>
      <c r="S99" s="13">
        <v>743</v>
      </c>
      <c r="T99" s="13">
        <v>1</v>
      </c>
      <c r="U99" s="13">
        <v>744</v>
      </c>
      <c r="V99" s="13">
        <v>1</v>
      </c>
    </row>
    <row r="100" spans="1:22" ht="14.4" x14ac:dyDescent="0.3">
      <c r="A100" s="21">
        <v>68</v>
      </c>
      <c r="B100" s="21">
        <f t="shared" si="13"/>
        <v>3359</v>
      </c>
      <c r="C100" s="14" t="s">
        <v>103</v>
      </c>
      <c r="D100" s="12">
        <v>3.7000000476837198</v>
      </c>
      <c r="E100" s="12">
        <v>5.9000000953674299</v>
      </c>
      <c r="F100" s="12">
        <v>3.2999999523162802</v>
      </c>
      <c r="G100" s="12">
        <v>-19</v>
      </c>
      <c r="H100" s="12">
        <v>-13.8</v>
      </c>
      <c r="I100" s="13">
        <v>39</v>
      </c>
      <c r="J100">
        <f>2319.12256*(0.83)</f>
        <v>1924.8717247999998</v>
      </c>
      <c r="K100">
        <v>0</v>
      </c>
      <c r="L100">
        <f>3705.8144*(0.83)</f>
        <v>3075.8259520000001</v>
      </c>
      <c r="M100">
        <f>3742.872544*(0.83)</f>
        <v>3106.5842115200003</v>
      </c>
      <c r="N100">
        <f>75.3*(0.83)</f>
        <v>62.498999999999995</v>
      </c>
      <c r="O100">
        <f>15462.116*(0.83)</f>
        <v>12833.556279999999</v>
      </c>
      <c r="P100">
        <f>6199959.4316*(0.83)</f>
        <v>5145966.3282280006</v>
      </c>
      <c r="Q100">
        <f>7283.6091*(0.83)</f>
        <v>6045.3955530000012</v>
      </c>
      <c r="R100">
        <f>4852884.16676*(0.83)</f>
        <v>4027893.8584107994</v>
      </c>
      <c r="S100" s="13">
        <v>742</v>
      </c>
      <c r="T100" s="13">
        <v>2</v>
      </c>
      <c r="U100" s="13">
        <v>744</v>
      </c>
      <c r="V100" s="13">
        <v>1</v>
      </c>
    </row>
    <row r="101" spans="1:22" ht="9" customHeight="1" x14ac:dyDescent="0.3">
      <c r="A101"/>
      <c r="B101" s="21"/>
      <c r="C101" s="14"/>
      <c r="D101" s="12"/>
      <c r="E101" s="12"/>
      <c r="F101" s="12"/>
      <c r="G101" s="12"/>
      <c r="H101" s="12"/>
      <c r="I101" s="13"/>
      <c r="J101">
        <f>0*(0.83)</f>
        <v>0</v>
      </c>
      <c r="K101">
        <v>0</v>
      </c>
      <c r="L101">
        <f t="shared" ref="L101:R101" si="19">0*(0.83)</f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9"/>
        <v>0</v>
      </c>
      <c r="S101" s="13"/>
      <c r="T101" s="13"/>
      <c r="U101" s="13"/>
      <c r="V101" s="13"/>
    </row>
    <row r="102" spans="1:22" ht="14.4" x14ac:dyDescent="0.3">
      <c r="A102" s="21">
        <v>69</v>
      </c>
      <c r="B102" s="21">
        <f t="shared" si="13"/>
        <v>3363</v>
      </c>
      <c r="C102" s="14" t="s">
        <v>104</v>
      </c>
      <c r="D102" s="12">
        <v>4.1999998092651403</v>
      </c>
      <c r="E102" s="12">
        <v>5.5</v>
      </c>
      <c r="F102" s="12">
        <v>3.2999999523162802</v>
      </c>
      <c r="G102" s="12">
        <v>3.2</v>
      </c>
      <c r="H102" s="12">
        <v>-12.5</v>
      </c>
      <c r="I102" s="13">
        <v>21</v>
      </c>
      <c r="J102">
        <f>1192.18554*(0.83)</f>
        <v>989.51399820000006</v>
      </c>
      <c r="K102">
        <v>0</v>
      </c>
      <c r="L102">
        <f>1244.5893*(0.83)</f>
        <v>1033.0091190000001</v>
      </c>
      <c r="M102">
        <f>1505.953053*(0.83)</f>
        <v>1249.9410339900001</v>
      </c>
      <c r="N102">
        <f>91.868*(0.83)</f>
        <v>76.250439999999998</v>
      </c>
      <c r="O102">
        <f>9483.474*(0.83)</f>
        <v>7871.2834199999998</v>
      </c>
      <c r="P102">
        <f>7221865.94722*(0.83)</f>
        <v>5994148.7361925989</v>
      </c>
      <c r="Q102">
        <f>9544.3786*(0.83)</f>
        <v>7921.8342379999995</v>
      </c>
      <c r="R102">
        <f>7006894.04964*(0.83)</f>
        <v>5815722.0612011999</v>
      </c>
      <c r="S102" s="13">
        <v>743</v>
      </c>
      <c r="T102" s="13">
        <v>1</v>
      </c>
      <c r="U102" s="13">
        <v>744</v>
      </c>
      <c r="V102" s="13">
        <v>1</v>
      </c>
    </row>
    <row r="103" spans="1:22" ht="14.4" x14ac:dyDescent="0.3">
      <c r="A103" s="21">
        <v>70</v>
      </c>
      <c r="B103" s="21">
        <f t="shared" si="13"/>
        <v>3364</v>
      </c>
      <c r="C103" s="14" t="s">
        <v>105</v>
      </c>
      <c r="D103" s="12">
        <v>4.1999998092651403</v>
      </c>
      <c r="E103" s="12">
        <v>5.9000000953674299</v>
      </c>
      <c r="F103" s="12">
        <v>3.2999999523162802</v>
      </c>
      <c r="G103" s="12">
        <v>3.7</v>
      </c>
      <c r="H103" s="12">
        <v>-12.5</v>
      </c>
      <c r="I103" s="13">
        <v>41</v>
      </c>
      <c r="J103">
        <f>2481.70426*(0.83)</f>
        <v>2059.8145357999997</v>
      </c>
      <c r="K103">
        <v>0</v>
      </c>
      <c r="L103">
        <f>4681.97814*(0.83)</f>
        <v>3886.0418562</v>
      </c>
      <c r="M103">
        <f>4541.5187958*(0.83)</f>
        <v>3769.4606005139995</v>
      </c>
      <c r="N103">
        <f>117.932*(0.83)</f>
        <v>97.883560000000003</v>
      </c>
      <c r="O103">
        <f>18173.68*(0.83)</f>
        <v>15084.154399999999</v>
      </c>
      <c r="P103">
        <f>4746293.3488*(0.83)</f>
        <v>3939423.4795039995</v>
      </c>
      <c r="Q103">
        <f>10028.59854*(0.83)</f>
        <v>8323.7367881999999</v>
      </c>
      <c r="R103">
        <f>6432234.1075*(0.83)</f>
        <v>5338754.3092250004</v>
      </c>
      <c r="S103" s="13">
        <v>743</v>
      </c>
      <c r="T103" s="13">
        <v>1</v>
      </c>
      <c r="U103" s="13">
        <v>744</v>
      </c>
      <c r="V103" s="13">
        <v>1</v>
      </c>
    </row>
    <row r="104" spans="1:22" ht="14.4" x14ac:dyDescent="0.3">
      <c r="A104" s="21">
        <v>71</v>
      </c>
      <c r="B104" s="21">
        <f t="shared" si="13"/>
        <v>3365</v>
      </c>
      <c r="C104" s="14" t="s">
        <v>106</v>
      </c>
      <c r="D104" s="12">
        <v>4.1999998092651403</v>
      </c>
      <c r="E104" s="12">
        <v>5.5</v>
      </c>
      <c r="F104" s="12">
        <v>3.2999999523162802</v>
      </c>
      <c r="G104" s="12">
        <v>-15</v>
      </c>
      <c r="H104" s="12">
        <v>-12.5</v>
      </c>
      <c r="I104" s="13">
        <v>28</v>
      </c>
      <c r="J104">
        <f>1701.16466*(0.83)</f>
        <v>1411.9666677999999</v>
      </c>
      <c r="K104">
        <v>16.423999999999999</v>
      </c>
      <c r="L104">
        <f>2708.40906*(0.83)</f>
        <v>2247.9795197999997</v>
      </c>
      <c r="M104">
        <f>2735.4931506*(0.83)</f>
        <v>2270.4593149979996</v>
      </c>
      <c r="N104">
        <f>182.738*(0.83)</f>
        <v>151.67254</v>
      </c>
      <c r="O104">
        <f>12539.62*(0.83)</f>
        <v>10407.884599999999</v>
      </c>
      <c r="P104">
        <f>4008295.09248*(0.83)</f>
        <v>3326884.9267583997</v>
      </c>
      <c r="Q104">
        <f>9535.99362*(0.83)</f>
        <v>7914.8747046000008</v>
      </c>
      <c r="R104">
        <f>4493696.7806*(0.83)</f>
        <v>3729768.3278979999</v>
      </c>
      <c r="S104" s="13">
        <v>742</v>
      </c>
      <c r="T104" s="13">
        <v>2</v>
      </c>
      <c r="U104" s="13">
        <v>744</v>
      </c>
      <c r="V104" s="13">
        <v>1</v>
      </c>
    </row>
    <row r="105" spans="1:22" ht="14.4" x14ac:dyDescent="0.3">
      <c r="A105" s="21">
        <v>72</v>
      </c>
      <c r="B105" s="21">
        <f t="shared" si="13"/>
        <v>3367</v>
      </c>
      <c r="C105" s="14" t="s">
        <v>107</v>
      </c>
      <c r="D105" s="12">
        <v>4.1999998092651403</v>
      </c>
      <c r="E105" s="12">
        <v>5</v>
      </c>
      <c r="F105" s="12">
        <v>3.2999999523162802</v>
      </c>
      <c r="G105" s="12">
        <v>-15</v>
      </c>
      <c r="H105" s="12">
        <v>-12.5</v>
      </c>
      <c r="I105" s="13">
        <v>33</v>
      </c>
      <c r="J105">
        <f>2007.89806*(0.83)</f>
        <v>1666.5553897999998</v>
      </c>
      <c r="K105">
        <v>0</v>
      </c>
      <c r="L105">
        <f>3456.89666*(0.83)</f>
        <v>2869.2242277999999</v>
      </c>
      <c r="M105">
        <f>3076.6380274*(0.83)</f>
        <v>2553.6095627419995</v>
      </c>
      <c r="N105">
        <f>16.48*(0.83)</f>
        <v>13.6784</v>
      </c>
      <c r="O105">
        <f>9182.27*(0.83)</f>
        <v>7621.2840999999999</v>
      </c>
      <c r="P105">
        <f>4857507.0777*(0.83)</f>
        <v>4031730.8744910001</v>
      </c>
      <c r="Q105">
        <f>6427.92528*(0.83)</f>
        <v>5335.1779824000005</v>
      </c>
      <c r="R105">
        <f>5596932.65474*(0.83)</f>
        <v>4645454.1034341995</v>
      </c>
      <c r="S105" s="13">
        <v>743</v>
      </c>
      <c r="T105" s="13">
        <v>1</v>
      </c>
      <c r="U105" s="13">
        <v>744</v>
      </c>
      <c r="V105" s="13">
        <v>1</v>
      </c>
    </row>
    <row r="106" spans="1:22" ht="14.4" x14ac:dyDescent="0.3">
      <c r="A106" s="21">
        <v>73</v>
      </c>
      <c r="B106" s="21">
        <f t="shared" si="13"/>
        <v>3368</v>
      </c>
      <c r="C106" s="14" t="s">
        <v>108</v>
      </c>
      <c r="D106" s="12">
        <v>4.1999998092651403</v>
      </c>
      <c r="E106" s="12">
        <v>5</v>
      </c>
      <c r="F106" s="12">
        <v>3.2999999523162802</v>
      </c>
      <c r="G106" s="12">
        <v>-15</v>
      </c>
      <c r="H106" s="12">
        <v>-12.5</v>
      </c>
      <c r="I106" s="13">
        <v>25</v>
      </c>
      <c r="J106">
        <f>1521.6584*(0.83)</f>
        <v>1262.9764720000001</v>
      </c>
      <c r="K106">
        <v>0</v>
      </c>
      <c r="L106">
        <f>2337.3928*(0.83)</f>
        <v>1940.036024</v>
      </c>
      <c r="M106">
        <f>2430.888512*(0.83)</f>
        <v>2017.63746496</v>
      </c>
      <c r="N106">
        <f>91.146*(0.83)</f>
        <v>75.651179999999997</v>
      </c>
      <c r="O106">
        <f>11493.946*(0.83)</f>
        <v>9539.9751799999995</v>
      </c>
      <c r="P106">
        <f>6718006.4452*(0.83)</f>
        <v>5575945.3495159997</v>
      </c>
      <c r="Q106">
        <f>6529.7232*(0.83)</f>
        <v>5419.6702560000003</v>
      </c>
      <c r="R106">
        <f>5127776.5074*(0.83)</f>
        <v>4256054.5011419998</v>
      </c>
      <c r="S106" s="13">
        <v>743</v>
      </c>
      <c r="T106" s="13">
        <v>1</v>
      </c>
      <c r="U106" s="13">
        <v>744</v>
      </c>
      <c r="V106" s="13">
        <v>1</v>
      </c>
    </row>
    <row r="107" spans="1:22" ht="14.4" x14ac:dyDescent="0.3">
      <c r="A107" s="21">
        <v>74</v>
      </c>
      <c r="B107" s="21">
        <f t="shared" si="13"/>
        <v>3369</v>
      </c>
      <c r="C107" s="14" t="s">
        <v>109</v>
      </c>
      <c r="D107" s="12">
        <v>4.1999998092651403</v>
      </c>
      <c r="E107" s="12">
        <v>5.0999999046325701</v>
      </c>
      <c r="F107" s="12">
        <v>3.2999999523162802</v>
      </c>
      <c r="G107" s="12">
        <v>1.2</v>
      </c>
      <c r="H107" s="12">
        <v>-12.5</v>
      </c>
      <c r="I107" s="13">
        <v>96</v>
      </c>
      <c r="J107">
        <f>5768.92368*(0.83)</f>
        <v>4788.2066543999999</v>
      </c>
      <c r="K107">
        <v>0</v>
      </c>
      <c r="L107">
        <f>7136.8128*(0.83)</f>
        <v>5923.5546239999994</v>
      </c>
      <c r="M107">
        <f>7921.862208*(0.83)</f>
        <v>6575.1456326400003</v>
      </c>
      <c r="N107">
        <f>16.528*(0.83)</f>
        <v>13.718239999999998</v>
      </c>
      <c r="O107">
        <f>41040.986*(0.83)</f>
        <v>34064.018379999994</v>
      </c>
      <c r="P107">
        <f>6446611.9854*(0.83)</f>
        <v>5350687.9478820004</v>
      </c>
      <c r="Q107">
        <f>6543.58702*(0.83)</f>
        <v>5431.1772265999998</v>
      </c>
      <c r="R107">
        <f>6524379.83652*(0.83)</f>
        <v>5415235.2643116005</v>
      </c>
      <c r="S107" s="13">
        <v>743</v>
      </c>
      <c r="T107" s="13">
        <v>1</v>
      </c>
      <c r="U107" s="13">
        <v>744</v>
      </c>
      <c r="V107" s="13">
        <v>1</v>
      </c>
    </row>
    <row r="108" spans="1:22" ht="9" customHeight="1" x14ac:dyDescent="0.3">
      <c r="A108"/>
      <c r="B108" s="21"/>
      <c r="C108" s="14"/>
      <c r="D108" s="12"/>
      <c r="E108" s="12"/>
      <c r="F108" s="12"/>
      <c r="G108" s="12"/>
      <c r="H108" s="12"/>
      <c r="I108" s="13"/>
      <c r="J108">
        <f>0*(0.83)</f>
        <v>0</v>
      </c>
      <c r="K108">
        <v>0</v>
      </c>
      <c r="L108">
        <f t="shared" ref="L108:R108" si="20">0*(0.83)</f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20"/>
        <v>0</v>
      </c>
      <c r="S108" s="13"/>
      <c r="T108" s="13"/>
      <c r="U108" s="13"/>
      <c r="V108" s="13"/>
    </row>
    <row r="109" spans="1:22" ht="14.4" x14ac:dyDescent="0.3">
      <c r="A109" s="21">
        <v>75</v>
      </c>
      <c r="B109" s="21">
        <f t="shared" si="13"/>
        <v>3372</v>
      </c>
      <c r="C109" s="14" t="s">
        <v>110</v>
      </c>
      <c r="D109" s="12">
        <v>4.3000001907348597</v>
      </c>
      <c r="E109" s="12">
        <v>5.8000001907348597</v>
      </c>
      <c r="F109" s="12">
        <v>3.2999999523162802</v>
      </c>
      <c r="G109" s="12">
        <v>4.5999999999999996</v>
      </c>
      <c r="H109" s="12">
        <v>-11.3</v>
      </c>
      <c r="I109" s="13">
        <v>91</v>
      </c>
      <c r="J109">
        <f>5464.96254*(0.83)</f>
        <v>4535.9189081999994</v>
      </c>
      <c r="K109">
        <v>0</v>
      </c>
      <c r="L109">
        <f>5746.66164*(0.83)</f>
        <v>4769.7291611999999</v>
      </c>
      <c r="M109">
        <f>4942.1290104*(0.83)</f>
        <v>4101.9670786319994</v>
      </c>
      <c r="N109">
        <f>71.78*(0.83)</f>
        <v>59.577399999999997</v>
      </c>
      <c r="O109">
        <f>36352.536*(0.83)</f>
        <v>30172.604879999999</v>
      </c>
      <c r="P109">
        <f>13059749.86488*(0.83)</f>
        <v>10839592.3878504</v>
      </c>
      <c r="Q109">
        <f>8498.0407*(0.83)</f>
        <v>7053.3737810000011</v>
      </c>
      <c r="R109">
        <f>9962377.05642*(0.83)</f>
        <v>8268772.9568285998</v>
      </c>
      <c r="S109" s="13">
        <v>743</v>
      </c>
      <c r="T109" s="13">
        <v>1</v>
      </c>
      <c r="U109" s="13">
        <v>744</v>
      </c>
      <c r="V109" s="13">
        <v>1</v>
      </c>
    </row>
    <row r="110" spans="1:22" ht="14.4" x14ac:dyDescent="0.3">
      <c r="A110" s="21">
        <v>76</v>
      </c>
      <c r="B110" s="21">
        <f t="shared" si="13"/>
        <v>3373</v>
      </c>
      <c r="C110" s="14" t="s">
        <v>111</v>
      </c>
      <c r="D110" s="12">
        <v>4.3000001907348597</v>
      </c>
      <c r="E110" s="12">
        <v>5</v>
      </c>
      <c r="F110" s="12">
        <v>3.2999999523162802</v>
      </c>
      <c r="G110" s="12">
        <v>4.9000000000000004</v>
      </c>
      <c r="H110" s="12">
        <v>-11.3</v>
      </c>
      <c r="I110" s="13">
        <v>76</v>
      </c>
      <c r="J110">
        <f>4564.07504*(0.83)</f>
        <v>3788.1822831999998</v>
      </c>
      <c r="K110">
        <v>0</v>
      </c>
      <c r="L110">
        <f>7763.6328*(0.83)</f>
        <v>6443.8152239999999</v>
      </c>
      <c r="M110">
        <f>8462.359752*(0.83)</f>
        <v>7023.75859416</v>
      </c>
      <c r="N110">
        <f>65.294*(0.83)</f>
        <v>54.194019999999995</v>
      </c>
      <c r="O110">
        <f>32266.44*(0.83)</f>
        <v>26781.145199999999</v>
      </c>
      <c r="P110">
        <f>10164554.06894*(0.83)</f>
        <v>8436579.8772202004</v>
      </c>
      <c r="Q110">
        <f>9551.37002*(0.83)</f>
        <v>7927.6371165999999</v>
      </c>
      <c r="R110">
        <f>10935396.0506*(0.83)</f>
        <v>9076378.7219980005</v>
      </c>
      <c r="S110" s="13">
        <v>743</v>
      </c>
      <c r="T110" s="13">
        <v>1</v>
      </c>
      <c r="U110" s="13">
        <v>744</v>
      </c>
      <c r="V110" s="13">
        <v>1</v>
      </c>
    </row>
    <row r="111" spans="1:22" ht="14.4" x14ac:dyDescent="0.3">
      <c r="A111" s="21">
        <v>77</v>
      </c>
      <c r="B111" s="21">
        <f t="shared" si="13"/>
        <v>3374</v>
      </c>
      <c r="C111" s="14" t="s">
        <v>112</v>
      </c>
      <c r="D111" s="12">
        <v>4.3000001907348597</v>
      </c>
      <c r="E111" s="12">
        <v>5.9000000953674299</v>
      </c>
      <c r="F111" s="12">
        <v>3.2999999523162802</v>
      </c>
      <c r="G111" s="12">
        <v>-27</v>
      </c>
      <c r="H111" s="12">
        <v>-11.3</v>
      </c>
      <c r="I111" s="13">
        <v>60</v>
      </c>
      <c r="J111">
        <f>3568.03442*(0.83)</f>
        <v>2961.4685685999998</v>
      </c>
      <c r="K111">
        <v>33.567999999999998</v>
      </c>
      <c r="L111">
        <f>3600.59538*(0.83)</f>
        <v>2988.4941653999999</v>
      </c>
      <c r="M111">
        <f>4320.714456*(0.83)</f>
        <v>3586.1929984799995</v>
      </c>
      <c r="N111">
        <f>150.746*(0.83)</f>
        <v>125.11918</v>
      </c>
      <c r="O111">
        <f>24125.668*(0.83)</f>
        <v>20024.30444</v>
      </c>
      <c r="P111">
        <f>11472641.499*(0.83)</f>
        <v>9522292.44417</v>
      </c>
      <c r="Q111">
        <f>8828.2516*(0.83)</f>
        <v>7327.4488279999996</v>
      </c>
      <c r="R111">
        <f>11673352.2936*(0.83)</f>
        <v>9688882.4036880005</v>
      </c>
      <c r="S111" s="13">
        <v>741</v>
      </c>
      <c r="T111" s="13">
        <v>3</v>
      </c>
      <c r="U111" s="13">
        <v>744</v>
      </c>
      <c r="V111" s="13">
        <v>2</v>
      </c>
    </row>
    <row r="112" spans="1:22" ht="14.4" x14ac:dyDescent="0.3">
      <c r="A112" s="21">
        <v>78</v>
      </c>
      <c r="B112" s="21">
        <f t="shared" si="13"/>
        <v>3375</v>
      </c>
      <c r="C112" s="14" t="s">
        <v>113</v>
      </c>
      <c r="D112" s="12">
        <v>4.3000001907348597</v>
      </c>
      <c r="E112" s="12">
        <v>5.9000000953674299</v>
      </c>
      <c r="F112" s="12">
        <v>3.2999999523162802</v>
      </c>
      <c r="G112" s="12">
        <v>-23</v>
      </c>
      <c r="H112" s="12">
        <v>-11.3</v>
      </c>
      <c r="I112" s="13">
        <v>74</v>
      </c>
      <c r="J112">
        <f>4437.29216*(0.83)</f>
        <v>3682.9524927999996</v>
      </c>
      <c r="K112">
        <v>0</v>
      </c>
      <c r="L112">
        <f>5809.65056*(0.83)</f>
        <v>4822.0099647999996</v>
      </c>
      <c r="M112">
        <f>5867.7470656*(0.83)</f>
        <v>4870.2300644480001</v>
      </c>
      <c r="N112">
        <f>16.53*(0.83)</f>
        <v>13.719900000000001</v>
      </c>
      <c r="O112">
        <f>30505.9*(0.83)</f>
        <v>25319.897000000001</v>
      </c>
      <c r="P112">
        <f>12111909.17568*(0.83)</f>
        <v>10052884.615814401</v>
      </c>
      <c r="Q112">
        <f>9972.3855*(0.83)</f>
        <v>8277.079964999999</v>
      </c>
      <c r="R112">
        <f>9719803.38422*(0.83)</f>
        <v>8067436.8089025998</v>
      </c>
      <c r="S112" s="13">
        <v>743</v>
      </c>
      <c r="T112" s="13">
        <v>1</v>
      </c>
      <c r="U112" s="13">
        <v>744</v>
      </c>
      <c r="V112" s="13">
        <v>1</v>
      </c>
    </row>
    <row r="113" spans="1:22" ht="14.4" x14ac:dyDescent="0.3">
      <c r="A113" s="21">
        <v>79</v>
      </c>
      <c r="B113" s="21">
        <f t="shared" si="13"/>
        <v>3376</v>
      </c>
      <c r="C113" s="14" t="s">
        <v>114</v>
      </c>
      <c r="D113" s="12">
        <v>4.3000001907348597</v>
      </c>
      <c r="E113" s="12">
        <v>5.4000000953674299</v>
      </c>
      <c r="F113" s="12">
        <v>3.2999999523162802</v>
      </c>
      <c r="G113" s="12">
        <v>2.1</v>
      </c>
      <c r="H113" s="12">
        <v>-11.3</v>
      </c>
      <c r="I113" s="13">
        <v>42</v>
      </c>
      <c r="J113">
        <f>2535.5218*(0.83)</f>
        <v>2104.4830939999997</v>
      </c>
      <c r="K113">
        <v>34.566000000000003</v>
      </c>
      <c r="L113">
        <f>4502.4602*(0.83)</f>
        <v>3737.0419659999993</v>
      </c>
      <c r="M113">
        <f>4097.238782*(0.83)</f>
        <v>3400.7081890599993</v>
      </c>
      <c r="N113">
        <f>151.868*(0.83)</f>
        <v>126.05043999999999</v>
      </c>
      <c r="O113">
        <f>17829.988*(0.83)</f>
        <v>14798.89004</v>
      </c>
      <c r="P113">
        <f>9388126.5674*(0.83)</f>
        <v>7792145.050942</v>
      </c>
      <c r="Q113">
        <f>7988.5486*(0.83)</f>
        <v>6630.4953379999997</v>
      </c>
      <c r="R113">
        <f>9990442.77702*(0.83)</f>
        <v>8292067.5049265996</v>
      </c>
      <c r="S113" s="13">
        <v>741</v>
      </c>
      <c r="T113" s="13">
        <v>3</v>
      </c>
      <c r="U113" s="13">
        <v>744</v>
      </c>
      <c r="V113" s="13">
        <v>2</v>
      </c>
    </row>
    <row r="114" spans="1:22" ht="14.4" x14ac:dyDescent="0.3">
      <c r="A114" s="21">
        <v>80</v>
      </c>
      <c r="B114" s="21">
        <f t="shared" si="13"/>
        <v>3377</v>
      </c>
      <c r="C114" s="14" t="s">
        <v>115</v>
      </c>
      <c r="D114" s="12">
        <v>4.3000001907348597</v>
      </c>
      <c r="E114" s="12">
        <v>5.6999998092651403</v>
      </c>
      <c r="F114" s="12">
        <v>3.2999999523162802</v>
      </c>
      <c r="G114" s="12">
        <v>-26</v>
      </c>
      <c r="H114" s="12">
        <v>-11.3</v>
      </c>
      <c r="I114" s="13">
        <v>22</v>
      </c>
      <c r="J114">
        <f>1295.4156*(0.83)</f>
        <v>1075.1949480000001</v>
      </c>
      <c r="K114">
        <v>0</v>
      </c>
      <c r="L114">
        <f>1642.6404*(0.83)</f>
        <v>1363.3915319999999</v>
      </c>
      <c r="M114">
        <f>2004.021288*(0.83)</f>
        <v>1663.3376690399998</v>
      </c>
      <c r="N114">
        <f>118.958*(0.83)</f>
        <v>98.735139999999987</v>
      </c>
      <c r="O114">
        <f>9777.384*(0.83)</f>
        <v>8115.2287200000001</v>
      </c>
      <c r="P114">
        <f>9887544.594*(0.83)</f>
        <v>8206662.0130200004</v>
      </c>
      <c r="Q114">
        <f>6793.9417*(0.83)</f>
        <v>5638.9716109999999</v>
      </c>
      <c r="R114">
        <f>11103562.7953*(0.83)</f>
        <v>9215957.1200989988</v>
      </c>
      <c r="S114" s="13">
        <v>743</v>
      </c>
      <c r="T114" s="13">
        <v>1</v>
      </c>
      <c r="U114" s="13">
        <v>744</v>
      </c>
      <c r="V114" s="13">
        <v>1</v>
      </c>
    </row>
    <row r="115" spans="1:22" ht="9" customHeight="1" x14ac:dyDescent="0.3">
      <c r="A115"/>
      <c r="B115" s="21"/>
      <c r="C115" s="14"/>
      <c r="D115" s="12"/>
      <c r="E115" s="12"/>
      <c r="F115" s="12"/>
      <c r="G115" s="12"/>
      <c r="H115" s="12"/>
      <c r="I115" s="13"/>
      <c r="J115">
        <f>0*(0.83)</f>
        <v>0</v>
      </c>
      <c r="K115">
        <v>0</v>
      </c>
      <c r="L115">
        <f t="shared" ref="L115:R115" si="21">0*(0.83)</f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21"/>
        <v>0</v>
      </c>
      <c r="S115" s="13"/>
      <c r="T115" s="13"/>
      <c r="U115" s="13"/>
      <c r="V115" s="13"/>
    </row>
    <row r="116" spans="1:22" ht="14.4" x14ac:dyDescent="0.3">
      <c r="A116" s="21">
        <v>81</v>
      </c>
      <c r="B116" s="21">
        <f t="shared" si="13"/>
        <v>3382</v>
      </c>
      <c r="C116" s="14" t="s">
        <v>116</v>
      </c>
      <c r="D116" s="12">
        <v>4.0999999046325701</v>
      </c>
      <c r="E116" s="12">
        <v>5</v>
      </c>
      <c r="F116" s="12">
        <v>3.2999999523162802</v>
      </c>
      <c r="G116" s="12">
        <v>3.8</v>
      </c>
      <c r="H116" s="12">
        <v>-7.5</v>
      </c>
      <c r="I116" s="13">
        <v>37</v>
      </c>
      <c r="J116">
        <f>2196.9045*(0.83)</f>
        <v>1823.4307349999997</v>
      </c>
      <c r="K116">
        <v>0</v>
      </c>
      <c r="L116">
        <f>2513.9835*(0.83)</f>
        <v>2086.6063050000002</v>
      </c>
      <c r="M116">
        <f>2413.42416*(0.83)</f>
        <v>2003.1420527999999</v>
      </c>
      <c r="N116">
        <f>16.502*(0.83)</f>
        <v>13.696659999999998</v>
      </c>
      <c r="O116">
        <f>15155.206*(0.83)</f>
        <v>12578.820979999999</v>
      </c>
      <c r="P116">
        <f>7545943.4479*(0.83)</f>
        <v>6263133.0617570002</v>
      </c>
      <c r="Q116">
        <f>9513.80066*(0.83)</f>
        <v>7896.4545478</v>
      </c>
      <c r="R116">
        <f>8464816.15608*(0.83)</f>
        <v>7025797.4095463995</v>
      </c>
      <c r="S116" s="13">
        <v>743</v>
      </c>
      <c r="T116" s="13">
        <v>1</v>
      </c>
      <c r="U116" s="13">
        <v>744</v>
      </c>
      <c r="V116" s="13">
        <v>1</v>
      </c>
    </row>
    <row r="117" spans="1:22" ht="14.4" x14ac:dyDescent="0.3">
      <c r="A117" s="21">
        <v>82</v>
      </c>
      <c r="B117" s="21">
        <f t="shared" si="13"/>
        <v>3383</v>
      </c>
      <c r="C117" s="14" t="s">
        <v>117</v>
      </c>
      <c r="D117" s="12">
        <v>4.0999999046325701</v>
      </c>
      <c r="E117" s="12">
        <v>6.1999998092651403</v>
      </c>
      <c r="F117" s="12">
        <v>3.2999999523162802</v>
      </c>
      <c r="G117" s="12">
        <v>-26</v>
      </c>
      <c r="H117" s="12">
        <v>-7.5</v>
      </c>
      <c r="I117" s="13">
        <v>29</v>
      </c>
      <c r="J117">
        <f>1743.5556*(0.83)</f>
        <v>1447.1511479999999</v>
      </c>
      <c r="K117">
        <v>32.548000000000002</v>
      </c>
      <c r="L117">
        <f>1903.22912*(0.83)</f>
        <v>1579.6801696</v>
      </c>
      <c r="M117">
        <f>1636.7770432*(0.83)</f>
        <v>1358.5249458560002</v>
      </c>
      <c r="N117">
        <f>196.566*(0.83)</f>
        <v>163.14977999999999</v>
      </c>
      <c r="O117">
        <f>12244.944*(0.83)</f>
        <v>10163.303519999999</v>
      </c>
      <c r="P117">
        <f>9693513.3658*(0.83)</f>
        <v>8045616.0936139999</v>
      </c>
      <c r="Q117">
        <f>10810.91412*(0.83)</f>
        <v>8973.0587196000015</v>
      </c>
      <c r="R117">
        <f>11076711.69748*(0.83)</f>
        <v>9193670.7089083977</v>
      </c>
      <c r="S117" s="13">
        <v>741</v>
      </c>
      <c r="T117" s="13">
        <v>3</v>
      </c>
      <c r="U117" s="13">
        <v>744</v>
      </c>
      <c r="V117" s="13">
        <v>2</v>
      </c>
    </row>
    <row r="118" spans="1:22" ht="14.4" x14ac:dyDescent="0.3">
      <c r="A118" s="21">
        <v>83</v>
      </c>
      <c r="B118" s="21">
        <f t="shared" si="13"/>
        <v>3384</v>
      </c>
      <c r="C118" s="14" t="s">
        <v>118</v>
      </c>
      <c r="D118" s="12">
        <v>4.0999999046325701</v>
      </c>
      <c r="E118" s="12">
        <v>5.4000000953674299</v>
      </c>
      <c r="F118" s="12">
        <v>3.2999999523162802</v>
      </c>
      <c r="G118" s="12">
        <v>2.4</v>
      </c>
      <c r="H118" s="12">
        <v>-7.5</v>
      </c>
      <c r="I118" s="13">
        <v>33</v>
      </c>
      <c r="J118">
        <f>1980.57122*(0.83)</f>
        <v>1643.8741126</v>
      </c>
      <c r="K118">
        <v>0</v>
      </c>
      <c r="L118">
        <f>3736.54158*(0.83)</f>
        <v>3101.3295113999998</v>
      </c>
      <c r="M118">
        <f>3474.9836694*(0.83)</f>
        <v>2884.236445602</v>
      </c>
      <c r="N118">
        <f>65.29*(0.83)</f>
        <v>54.1907</v>
      </c>
      <c r="O118">
        <f>13947.254*(0.83)</f>
        <v>11576.22082</v>
      </c>
      <c r="P118">
        <f>8296268.18826*(0.83)</f>
        <v>6885902.5962558007</v>
      </c>
      <c r="Q118">
        <f>8394.19896*(0.83)</f>
        <v>6967.1851367999998</v>
      </c>
      <c r="R118">
        <f>7948333.30264*(0.83)</f>
        <v>6597116.6411911994</v>
      </c>
      <c r="S118" s="13">
        <v>743</v>
      </c>
      <c r="T118" s="13">
        <v>1</v>
      </c>
      <c r="U118" s="13">
        <v>744</v>
      </c>
      <c r="V118" s="13">
        <v>1</v>
      </c>
    </row>
    <row r="119" spans="1:22" ht="14.4" x14ac:dyDescent="0.3">
      <c r="A119" s="21">
        <v>84</v>
      </c>
      <c r="B119" s="21">
        <f t="shared" si="13"/>
        <v>3385</v>
      </c>
      <c r="C119" s="14" t="s">
        <v>119</v>
      </c>
      <c r="D119" s="12">
        <v>4.0999999046325701</v>
      </c>
      <c r="E119" s="12">
        <v>5</v>
      </c>
      <c r="F119" s="12">
        <v>3.2999999523162802</v>
      </c>
      <c r="G119" s="12">
        <v>-22</v>
      </c>
      <c r="H119" s="12">
        <v>-7.5</v>
      </c>
      <c r="I119" s="13">
        <v>64</v>
      </c>
      <c r="J119">
        <f>3834.29748*(0.83)</f>
        <v>3182.4669083999997</v>
      </c>
      <c r="K119">
        <v>0</v>
      </c>
      <c r="L119">
        <f>4585.34544*(0.83)</f>
        <v>3805.8367152000001</v>
      </c>
      <c r="M119">
        <f>3989.2505328*(0.83)</f>
        <v>3311.0779422239998</v>
      </c>
      <c r="N119">
        <f>90.746*(0.83)</f>
        <v>75.319179999999989</v>
      </c>
      <c r="O119">
        <f>26529.4*(0.83)</f>
        <v>22019.402000000002</v>
      </c>
      <c r="P119">
        <f>13668224.8994*(0.83)</f>
        <v>11344626.666502001</v>
      </c>
      <c r="Q119">
        <f>12199.51032*(0.83)</f>
        <v>10125.5935656</v>
      </c>
      <c r="R119">
        <f>12967644.90152*(0.83)</f>
        <v>10763145.2682616</v>
      </c>
      <c r="S119" s="13">
        <v>743</v>
      </c>
      <c r="T119" s="13">
        <v>1</v>
      </c>
      <c r="U119" s="13">
        <v>744</v>
      </c>
      <c r="V119" s="13">
        <v>1</v>
      </c>
    </row>
    <row r="120" spans="1:22" ht="14.4" x14ac:dyDescent="0.3">
      <c r="A120" s="21">
        <v>85</v>
      </c>
      <c r="B120" s="21">
        <f t="shared" si="13"/>
        <v>3387</v>
      </c>
      <c r="C120" s="14" t="s">
        <v>120</v>
      </c>
      <c r="D120" s="12">
        <v>4.0999999046325701</v>
      </c>
      <c r="E120" s="12">
        <v>5.6999998092651403</v>
      </c>
      <c r="F120" s="12">
        <v>3.2999999523162802</v>
      </c>
      <c r="G120" s="12">
        <v>-22</v>
      </c>
      <c r="H120" s="12">
        <v>-7.5</v>
      </c>
      <c r="I120" s="13">
        <v>61</v>
      </c>
      <c r="J120">
        <f>3642.18704*(0.83)</f>
        <v>3023.0152431999995</v>
      </c>
      <c r="K120">
        <v>32.468000000000004</v>
      </c>
      <c r="L120">
        <f>6059.68*(0.83)</f>
        <v>5029.5343999999996</v>
      </c>
      <c r="M120">
        <f>5756.696*(0.83)</f>
        <v>4778.0576800000008</v>
      </c>
      <c r="N120">
        <f>81.004*(0.83)</f>
        <v>67.233320000000006</v>
      </c>
      <c r="O120">
        <f>25890.864*(0.83)</f>
        <v>21489.417120000002</v>
      </c>
      <c r="P120">
        <f>8478793.8564*(0.83)</f>
        <v>7037398.900812</v>
      </c>
      <c r="Q120">
        <f>11277.36456*(0.83)</f>
        <v>9360.2125847999996</v>
      </c>
      <c r="R120">
        <f>11113876.4836*(0.83)</f>
        <v>9224517.4813879989</v>
      </c>
      <c r="S120" s="13">
        <v>741</v>
      </c>
      <c r="T120" s="13">
        <v>3</v>
      </c>
      <c r="U120" s="13">
        <v>744</v>
      </c>
      <c r="V120" s="13">
        <v>2</v>
      </c>
    </row>
    <row r="121" spans="1:22" ht="14.4" x14ac:dyDescent="0.3">
      <c r="A121" s="21">
        <v>86</v>
      </c>
      <c r="B121" s="21">
        <f t="shared" si="13"/>
        <v>3388</v>
      </c>
      <c r="C121" s="14" t="s">
        <v>121</v>
      </c>
      <c r="D121" s="12">
        <v>4.0999999046325701</v>
      </c>
      <c r="E121" s="12">
        <v>5.5</v>
      </c>
      <c r="F121" s="12">
        <v>3.2999999523162802</v>
      </c>
      <c r="G121" s="12">
        <v>-10</v>
      </c>
      <c r="H121" s="12">
        <v>-7.5</v>
      </c>
      <c r="I121" s="13">
        <v>60</v>
      </c>
      <c r="J121">
        <f>3630.1571*(0.83)</f>
        <v>3013.0303929999995</v>
      </c>
      <c r="K121">
        <v>0</v>
      </c>
      <c r="L121">
        <f>5576.2207*(0.83)</f>
        <v>4628.2631809999993</v>
      </c>
      <c r="M121">
        <f>6802.989254*(0.83)</f>
        <v>5646.48108082</v>
      </c>
      <c r="N121">
        <f>0*(0.83)</f>
        <v>0</v>
      </c>
      <c r="O121">
        <f>25363.198*(0.83)</f>
        <v>21051.45434</v>
      </c>
      <c r="P121">
        <f>11757801.46896*(0.83)</f>
        <v>9758975.2192368004</v>
      </c>
      <c r="Q121">
        <f>16412.36568*(0.83)</f>
        <v>13622.263514400001</v>
      </c>
      <c r="R121">
        <f>10247175.02256*(0.83)</f>
        <v>8505155.2687247992</v>
      </c>
      <c r="S121" s="13">
        <v>743</v>
      </c>
      <c r="T121" s="13">
        <v>1</v>
      </c>
      <c r="U121" s="13">
        <v>744</v>
      </c>
      <c r="V121" s="13">
        <v>1</v>
      </c>
    </row>
    <row r="122" spans="1:22" ht="9" customHeight="1" x14ac:dyDescent="0.3">
      <c r="A122"/>
      <c r="B122" s="21"/>
      <c r="C122" s="14"/>
      <c r="D122" s="12"/>
      <c r="E122" s="12"/>
      <c r="F122" s="12"/>
      <c r="G122" s="12"/>
      <c r="H122" s="12"/>
      <c r="I122" s="13"/>
      <c r="J122">
        <f>0*(0.83)</f>
        <v>0</v>
      </c>
      <c r="K122">
        <v>0</v>
      </c>
      <c r="L122">
        <f>0*(0.83)</f>
        <v>0</v>
      </c>
      <c r="M122">
        <f>0*(0.83)</f>
        <v>0</v>
      </c>
      <c r="N122">
        <f>0*(0.83)</f>
        <v>0</v>
      </c>
      <c r="O122">
        <f>0*(0.83)</f>
        <v>0</v>
      </c>
      <c r="P122">
        <f>0*(0.83)</f>
        <v>0</v>
      </c>
      <c r="Q122">
        <f>0*(0.83)</f>
        <v>0</v>
      </c>
      <c r="R122">
        <f>0*(0.83)</f>
        <v>0</v>
      </c>
      <c r="S122" s="13"/>
      <c r="T122" s="13"/>
      <c r="U122" s="13"/>
      <c r="V122" s="13"/>
    </row>
    <row r="123" spans="1:22" ht="14.4" x14ac:dyDescent="0.3">
      <c r="A123" s="21">
        <v>87</v>
      </c>
      <c r="B123" s="21">
        <f t="shared" si="13"/>
        <v>3392</v>
      </c>
      <c r="C123" s="14" t="s">
        <v>122</v>
      </c>
      <c r="D123" s="12">
        <v>4</v>
      </c>
      <c r="E123" s="12">
        <v>4</v>
      </c>
      <c r="F123" s="12">
        <v>3.2999999523162802</v>
      </c>
      <c r="G123" s="12">
        <v>-25</v>
      </c>
      <c r="H123" s="12">
        <v>-11.6</v>
      </c>
      <c r="I123" s="13">
        <v>26</v>
      </c>
      <c r="J123">
        <f>1590.5478*(0.83)</f>
        <v>1320.1546739999999</v>
      </c>
      <c r="K123">
        <v>0</v>
      </c>
      <c r="L123">
        <f>1574.1504*(0.83)</f>
        <v>1306.544832</v>
      </c>
      <c r="M123">
        <f>1306.544832*(0.83)</f>
        <v>1084.4322105599999</v>
      </c>
      <c r="N123">
        <f>22.808*(0.83)</f>
        <v>18.93064</v>
      </c>
      <c r="O123">
        <f>10307.25*(0.83)</f>
        <v>8555.0174999999999</v>
      </c>
      <c r="P123">
        <f>8185826.80296*(0.83)</f>
        <v>6794236.2464568</v>
      </c>
      <c r="Q123">
        <f>8833.14036*(0.83)</f>
        <v>7331.5064987999995</v>
      </c>
      <c r="R123">
        <f>8345446.3158*(0.83)</f>
        <v>6926720.4421139993</v>
      </c>
      <c r="S123" s="13">
        <v>743</v>
      </c>
      <c r="T123" s="13">
        <v>1</v>
      </c>
      <c r="U123" s="13">
        <v>744</v>
      </c>
      <c r="V123" s="13">
        <v>1</v>
      </c>
    </row>
    <row r="124" spans="1:22" ht="14.4" x14ac:dyDescent="0.3">
      <c r="A124" s="21">
        <v>88</v>
      </c>
      <c r="B124" s="21">
        <f t="shared" si="13"/>
        <v>3393</v>
      </c>
      <c r="C124" s="14" t="s">
        <v>123</v>
      </c>
      <c r="D124" s="12">
        <v>4</v>
      </c>
      <c r="E124" s="12">
        <v>5</v>
      </c>
      <c r="F124" s="12">
        <v>3.2999999523162802</v>
      </c>
      <c r="G124" s="12">
        <v>-5</v>
      </c>
      <c r="H124" s="12">
        <v>-11.6</v>
      </c>
      <c r="I124" s="13">
        <v>43</v>
      </c>
      <c r="J124">
        <f>42.12322*(0.83)</f>
        <v>34.962272599999999</v>
      </c>
      <c r="K124">
        <v>618.17600000000004</v>
      </c>
      <c r="L124">
        <f>1085.02728*(0.83)</f>
        <v>900.57264239999995</v>
      </c>
      <c r="M124">
        <f>1063.3267344*(0.83)</f>
        <v>882.56118955199997</v>
      </c>
      <c r="N124">
        <f>668.862*(0.83)</f>
        <v>555.15545999999995</v>
      </c>
      <c r="O124">
        <f>19202.858*(0.83)</f>
        <v>15938.372139999999</v>
      </c>
      <c r="P124">
        <f>8345277.27132*(0.83)</f>
        <v>6926580.1351955989</v>
      </c>
      <c r="Q124">
        <f>6536.95406*(0.83)</f>
        <v>5425.6718698000004</v>
      </c>
      <c r="R124">
        <f>6300712.5826*(0.83)</f>
        <v>5229591.443558</v>
      </c>
      <c r="S124" s="13">
        <v>12</v>
      </c>
      <c r="T124" s="13">
        <v>732</v>
      </c>
      <c r="U124" s="13">
        <v>744</v>
      </c>
      <c r="V124" s="13">
        <v>7</v>
      </c>
    </row>
    <row r="125" spans="1:22" ht="14.4" x14ac:dyDescent="0.3">
      <c r="A125" s="21">
        <v>89</v>
      </c>
      <c r="B125" s="21">
        <f t="shared" si="13"/>
        <v>3394</v>
      </c>
      <c r="C125" s="14" t="s">
        <v>124</v>
      </c>
      <c r="D125" s="12">
        <v>4</v>
      </c>
      <c r="E125" s="12">
        <v>4</v>
      </c>
      <c r="F125" s="12">
        <v>3.2999999523162802</v>
      </c>
      <c r="G125" s="12">
        <v>-27</v>
      </c>
      <c r="H125" s="12">
        <v>-11.6</v>
      </c>
      <c r="I125" s="13">
        <v>27</v>
      </c>
      <c r="J125">
        <f>1582.3029*(0.83)</f>
        <v>1313.3114070000001</v>
      </c>
      <c r="K125">
        <v>0</v>
      </c>
      <c r="L125">
        <f>2898.11268*(0.83)</f>
        <v>2405.4335243999999</v>
      </c>
      <c r="M125">
        <f>3216.9050748*(0.83)</f>
        <v>2670.0312120840003</v>
      </c>
      <c r="N125">
        <f>81.308*(0.83)</f>
        <v>67.485640000000004</v>
      </c>
      <c r="O125">
        <f>10346.488*(0.83)</f>
        <v>8587.5850399999999</v>
      </c>
      <c r="P125">
        <f>5020497.60576*(0.83)</f>
        <v>4167013.0127807995</v>
      </c>
      <c r="Q125">
        <f>9437.24992*(0.83)</f>
        <v>7832.9174335999996</v>
      </c>
      <c r="R125">
        <f>4871443.34346*(0.83)</f>
        <v>4043297.9750718009</v>
      </c>
      <c r="S125" s="13">
        <v>741</v>
      </c>
      <c r="T125" s="13">
        <v>3</v>
      </c>
      <c r="U125" s="13">
        <v>744</v>
      </c>
      <c r="V125" s="13">
        <v>2</v>
      </c>
    </row>
    <row r="126" spans="1:22" ht="14.4" x14ac:dyDescent="0.3">
      <c r="A126" s="21">
        <v>90</v>
      </c>
      <c r="B126" s="21">
        <f t="shared" si="13"/>
        <v>3395</v>
      </c>
      <c r="C126" s="14" t="s">
        <v>125</v>
      </c>
      <c r="D126" s="12">
        <v>4</v>
      </c>
      <c r="E126" s="12">
        <v>5</v>
      </c>
      <c r="F126" s="12">
        <v>3.2999999523162802</v>
      </c>
      <c r="G126" s="12">
        <v>6.7</v>
      </c>
      <c r="H126" s="12">
        <v>-11.6</v>
      </c>
      <c r="I126" s="13">
        <v>62</v>
      </c>
      <c r="J126">
        <f>3699.70416*(0.83)</f>
        <v>3070.7544527999999</v>
      </c>
      <c r="K126">
        <v>0</v>
      </c>
      <c r="L126">
        <f>4309.96464*(0.83)</f>
        <v>3577.2706512000009</v>
      </c>
      <c r="M126">
        <f>4956.459336*(0.83)</f>
        <v>4113.8612488800009</v>
      </c>
      <c r="N126">
        <f>0.326*(0.83)</f>
        <v>0.27057999999999999</v>
      </c>
      <c r="O126">
        <f>23217.476*(0.83)</f>
        <v>19270.505079999999</v>
      </c>
      <c r="P126">
        <f>5830407.04*(0.83)</f>
        <v>4839237.8432</v>
      </c>
      <c r="Q126">
        <f>8345.827*(0.83)</f>
        <v>6927.0364099999988</v>
      </c>
      <c r="R126">
        <f>6223358.949*(0.83)</f>
        <v>5165387.9276700001</v>
      </c>
      <c r="S126" s="13">
        <v>743</v>
      </c>
      <c r="T126" s="13">
        <v>1</v>
      </c>
      <c r="U126" s="13">
        <v>744</v>
      </c>
      <c r="V126" s="13">
        <v>1</v>
      </c>
    </row>
    <row r="127" spans="1:22" ht="14.4" x14ac:dyDescent="0.3">
      <c r="A127" s="21">
        <v>91</v>
      </c>
      <c r="B127" s="21">
        <f t="shared" si="13"/>
        <v>3396</v>
      </c>
      <c r="C127" s="14" t="s">
        <v>126</v>
      </c>
      <c r="D127" s="12">
        <v>4</v>
      </c>
      <c r="E127" s="12">
        <v>5</v>
      </c>
      <c r="F127" s="12">
        <v>3.2999999523162802</v>
      </c>
      <c r="G127" s="12">
        <v>-27</v>
      </c>
      <c r="H127" s="12">
        <v>-11.6</v>
      </c>
      <c r="I127" s="13">
        <v>77</v>
      </c>
      <c r="J127">
        <f>4625.51678*(0.83)</f>
        <v>3839.1789273999998</v>
      </c>
      <c r="K127">
        <v>0</v>
      </c>
      <c r="L127">
        <f>4244.03086*(0.83)</f>
        <v>3522.5456137999995</v>
      </c>
      <c r="M127">
        <f>3692.3068482*(0.83)</f>
        <v>3064.6146840059996</v>
      </c>
      <c r="N127">
        <f>101.282*(0.83)</f>
        <v>84.064059999999998</v>
      </c>
      <c r="O127">
        <f>30168.804*(0.83)</f>
        <v>25040.107319999999</v>
      </c>
      <c r="P127">
        <f>8361389.56618*(0.83)</f>
        <v>6939953.3399294009</v>
      </c>
      <c r="Q127">
        <f>10638.36464*(0.83)</f>
        <v>8829.8426511999987</v>
      </c>
      <c r="R127">
        <f>7756972.31206*(0.83)</f>
        <v>6438287.0190097988</v>
      </c>
      <c r="S127" s="13">
        <v>743</v>
      </c>
      <c r="T127" s="13">
        <v>1</v>
      </c>
      <c r="U127" s="13">
        <v>744</v>
      </c>
      <c r="V127" s="13">
        <v>1</v>
      </c>
    </row>
    <row r="128" spans="1:22" ht="14.4" x14ac:dyDescent="0.3">
      <c r="A128" s="21">
        <v>92</v>
      </c>
      <c r="B128" s="21">
        <f t="shared" si="13"/>
        <v>3397</v>
      </c>
      <c r="C128" s="14" t="s">
        <v>127</v>
      </c>
      <c r="D128" s="12">
        <v>4</v>
      </c>
      <c r="E128" s="12">
        <v>5.1999998092651403</v>
      </c>
      <c r="F128" s="12">
        <v>3.2999999523162802</v>
      </c>
      <c r="G128" s="12">
        <v>3.2</v>
      </c>
      <c r="H128" s="12">
        <v>-11.6</v>
      </c>
      <c r="I128" s="13">
        <v>39</v>
      </c>
      <c r="J128">
        <f>2347.28032*(0.83)</f>
        <v>1948.2426656000002</v>
      </c>
      <c r="K128">
        <v>0</v>
      </c>
      <c r="L128">
        <f>3616.72784*(0.83)</f>
        <v>3001.8841072000005</v>
      </c>
      <c r="M128">
        <f>4086.9024592*(0.83)</f>
        <v>3392.1290411360005</v>
      </c>
      <c r="N128">
        <f>46.696*(0.83)</f>
        <v>38.757679999999993</v>
      </c>
      <c r="O128">
        <f>16316.522*(0.83)</f>
        <v>13542.71326</v>
      </c>
      <c r="P128">
        <f>6693331.7814*(0.83)</f>
        <v>5555465.3785620006</v>
      </c>
      <c r="Q128">
        <f>8064.64014*(0.83)</f>
        <v>6693.6513161999992</v>
      </c>
      <c r="R128">
        <f>6824340.47232*(0.83)</f>
        <v>5664202.5920256004</v>
      </c>
      <c r="S128" s="13">
        <v>743</v>
      </c>
      <c r="T128" s="13">
        <v>1</v>
      </c>
      <c r="U128" s="13">
        <v>744</v>
      </c>
      <c r="V128" s="13">
        <v>1</v>
      </c>
    </row>
    <row r="129" spans="1:22" ht="14.4" x14ac:dyDescent="0.3">
      <c r="A129" s="21">
        <v>93</v>
      </c>
      <c r="B129" s="21">
        <f t="shared" si="13"/>
        <v>3398</v>
      </c>
      <c r="C129" s="14" t="s">
        <v>128</v>
      </c>
      <c r="D129" s="12">
        <v>4</v>
      </c>
      <c r="E129" s="12">
        <v>5</v>
      </c>
      <c r="F129" s="12">
        <v>3.2999999523162802</v>
      </c>
      <c r="G129" s="12">
        <v>7</v>
      </c>
      <c r="H129" s="12">
        <v>-11.6</v>
      </c>
      <c r="I129" s="13">
        <v>60</v>
      </c>
      <c r="J129">
        <f>3616.88362*(0.83)</f>
        <v>3002.0134045999998</v>
      </c>
      <c r="K129">
        <v>0</v>
      </c>
      <c r="L129">
        <f>6488.01804*(0.83)</f>
        <v>5385.0549731999999</v>
      </c>
      <c r="M129">
        <f>7201.7000244*(0.83)</f>
        <v>5977.4110202520005</v>
      </c>
      <c r="N129">
        <f>0.342*(0.83)</f>
        <v>0.28386</v>
      </c>
      <c r="O129">
        <f>25123.704*(0.83)</f>
        <v>20852.674320000002</v>
      </c>
      <c r="P129">
        <f>6909286.232*(0.83)</f>
        <v>5734707.5725599993</v>
      </c>
      <c r="Q129">
        <f>6316.66706*(0.83)</f>
        <v>5242.8336598000005</v>
      </c>
      <c r="R129">
        <f>7605957.2798*(0.83)</f>
        <v>6312944.5422339998</v>
      </c>
      <c r="S129" s="13">
        <v>743</v>
      </c>
      <c r="T129" s="13">
        <v>1</v>
      </c>
      <c r="U129" s="13">
        <v>744</v>
      </c>
      <c r="V129" s="13">
        <v>1</v>
      </c>
    </row>
    <row r="130" spans="1:22" ht="14.4" x14ac:dyDescent="0.3">
      <c r="A130" s="21">
        <v>94</v>
      </c>
      <c r="B130" s="21">
        <f t="shared" si="13"/>
        <v>3399</v>
      </c>
      <c r="C130" s="14" t="s">
        <v>129</v>
      </c>
      <c r="D130" s="12">
        <v>4</v>
      </c>
      <c r="E130" s="12">
        <v>5</v>
      </c>
      <c r="F130" s="12">
        <v>3.2999999523162802</v>
      </c>
      <c r="G130" s="12">
        <v>-2.5</v>
      </c>
      <c r="H130" s="12">
        <v>-11.6</v>
      </c>
      <c r="I130" s="13">
        <v>48</v>
      </c>
      <c r="J130">
        <f>2889.15664*(0.83)</f>
        <v>2398.0000111999998</v>
      </c>
      <c r="K130">
        <v>30.341999999999999</v>
      </c>
      <c r="L130">
        <f>4212.3956*(0.83)</f>
        <v>3496.2883479999996</v>
      </c>
      <c r="M130">
        <f>4338.767468*(0.83)</f>
        <v>3601.1769984399998</v>
      </c>
      <c r="N130">
        <f>83.318*(0.83)</f>
        <v>69.153939999999992</v>
      </c>
      <c r="O130">
        <f>11839.47*(0.83)</f>
        <v>9826.7600999999995</v>
      </c>
      <c r="P130">
        <f>7247311.88038*(0.83)</f>
        <v>6015268.8607153995</v>
      </c>
      <c r="Q130">
        <f>7817.45216*(0.83)</f>
        <v>6488.4852927999991</v>
      </c>
      <c r="R130">
        <f>5858060.53712*(0.83)</f>
        <v>4862190.2458095998</v>
      </c>
      <c r="S130" s="13">
        <v>741</v>
      </c>
      <c r="T130" s="13">
        <v>3</v>
      </c>
      <c r="U130" s="13">
        <v>744</v>
      </c>
      <c r="V130" s="13">
        <v>2</v>
      </c>
    </row>
    <row r="131" spans="1:22" ht="9" customHeight="1" x14ac:dyDescent="0.3">
      <c r="A131"/>
      <c r="B131" s="21"/>
      <c r="C131" s="14"/>
      <c r="D131" s="12"/>
      <c r="E131" s="12"/>
      <c r="F131" s="12"/>
      <c r="G131" s="12"/>
      <c r="H131" s="12"/>
      <c r="I131" s="13"/>
      <c r="J131">
        <f>0*(0.83)</f>
        <v>0</v>
      </c>
      <c r="K131">
        <v>0</v>
      </c>
      <c r="L131">
        <f t="shared" ref="L131:R131" si="22">0*(0.83)</f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si="22"/>
        <v>0</v>
      </c>
      <c r="S131" s="13"/>
      <c r="T131" s="13"/>
      <c r="U131" s="13"/>
      <c r="V131" s="13"/>
    </row>
    <row r="132" spans="1:22" ht="14.4" x14ac:dyDescent="0.3">
      <c r="A132" s="21">
        <v>95</v>
      </c>
      <c r="B132" s="21">
        <f t="shared" si="13"/>
        <v>3402</v>
      </c>
      <c r="C132" s="14" t="s">
        <v>130</v>
      </c>
      <c r="D132" s="12">
        <v>4.4000000953674299</v>
      </c>
      <c r="E132" s="12">
        <v>5</v>
      </c>
      <c r="F132" s="12">
        <v>3.2999999523162802</v>
      </c>
      <c r="G132" s="12">
        <v>8.6999999999999993</v>
      </c>
      <c r="H132" s="12">
        <v>-5.3</v>
      </c>
      <c r="I132" s="13">
        <v>81</v>
      </c>
      <c r="J132">
        <f>4869.05662*(0.83)</f>
        <v>4041.3169945999994</v>
      </c>
      <c r="K132">
        <v>0</v>
      </c>
      <c r="L132">
        <f>7027.5044*(0.83)</f>
        <v>5832.8286520000001</v>
      </c>
      <c r="M132">
        <f>8011.355016*(0.83)</f>
        <v>6649.4246632800005</v>
      </c>
      <c r="N132">
        <f>0.362*(0.83)</f>
        <v>0.30045999999999995</v>
      </c>
      <c r="O132">
        <f>35110.868*(0.83)</f>
        <v>29142.02044</v>
      </c>
      <c r="P132">
        <f>12884039.9569*(0.83)</f>
        <v>10693753.164227</v>
      </c>
      <c r="Q132">
        <f>11370.40506*(0.83)</f>
        <v>9437.4361998000004</v>
      </c>
      <c r="R132">
        <f>11103581.85552*(0.83)</f>
        <v>9215972.9400815982</v>
      </c>
      <c r="S132" s="13">
        <v>743</v>
      </c>
      <c r="T132" s="13">
        <v>1</v>
      </c>
      <c r="U132" s="13">
        <v>744</v>
      </c>
      <c r="V132" s="13">
        <v>1</v>
      </c>
    </row>
    <row r="133" spans="1:22" ht="14.4" x14ac:dyDescent="0.3">
      <c r="A133" s="21">
        <v>96</v>
      </c>
      <c r="B133" s="21">
        <f t="shared" si="13"/>
        <v>3405</v>
      </c>
      <c r="C133" s="14" t="s">
        <v>131</v>
      </c>
      <c r="D133" s="12">
        <v>4.4000000953674299</v>
      </c>
      <c r="E133" s="12">
        <v>5</v>
      </c>
      <c r="F133" s="12">
        <v>3.2999999523162802</v>
      </c>
      <c r="G133" s="12">
        <v>6.9</v>
      </c>
      <c r="H133" s="12">
        <v>-5.3</v>
      </c>
      <c r="I133" s="13">
        <v>53</v>
      </c>
      <c r="J133">
        <f>3202.41426*(0.83)</f>
        <v>2658.0038357999997</v>
      </c>
      <c r="K133">
        <v>0</v>
      </c>
      <c r="L133">
        <f>4192.85166*(0.83)</f>
        <v>3480.0668777999999</v>
      </c>
      <c r="M133">
        <f>4821.779409*(0.83)</f>
        <v>4002.0769094700004</v>
      </c>
      <c r="N133">
        <f>574.988*(0.83)</f>
        <v>477.24004000000002</v>
      </c>
      <c r="O133">
        <f>19550.408*(0.83)</f>
        <v>16226.838639999998</v>
      </c>
      <c r="P133">
        <f>11403673.8989*(0.83)</f>
        <v>9465049.3360869996</v>
      </c>
      <c r="Q133">
        <f>11783.4359*(0.83)</f>
        <v>9780.2517970000008</v>
      </c>
      <c r="R133">
        <f>14416936.4736*(0.83)</f>
        <v>11966057.273087999</v>
      </c>
      <c r="S133" s="13">
        <v>743</v>
      </c>
      <c r="T133" s="13">
        <v>1</v>
      </c>
      <c r="U133" s="13">
        <v>744</v>
      </c>
      <c r="V133" s="13">
        <v>1</v>
      </c>
    </row>
    <row r="134" spans="1:22" ht="14.4" x14ac:dyDescent="0.3">
      <c r="A134" s="21">
        <v>97</v>
      </c>
      <c r="B134" s="21">
        <f t="shared" si="13"/>
        <v>3409</v>
      </c>
      <c r="C134" s="14" t="s">
        <v>132</v>
      </c>
      <c r="D134" s="12">
        <v>4.4000000953674299</v>
      </c>
      <c r="E134" s="12">
        <v>5</v>
      </c>
      <c r="F134" s="12">
        <v>3.2999999523162802</v>
      </c>
      <c r="G134" s="12">
        <v>-25</v>
      </c>
      <c r="H134" s="12">
        <v>-5.3</v>
      </c>
      <c r="I134" s="13">
        <v>52</v>
      </c>
      <c r="J134">
        <f>3127.21016*(0.83)</f>
        <v>2595.5844327999994</v>
      </c>
      <c r="K134">
        <v>31.925999999999998</v>
      </c>
      <c r="L134">
        <f>3516.32232*(0.83)</f>
        <v>2918.5475256</v>
      </c>
      <c r="M134">
        <f>3481.1590968*(0.83)</f>
        <v>2889.3620503439997</v>
      </c>
      <c r="N134">
        <f>143.604*(0.83)</f>
        <v>119.19132</v>
      </c>
      <c r="O134">
        <f>19086.842*(0.83)</f>
        <v>15842.07886</v>
      </c>
      <c r="P134">
        <f>9937505.3778*(0.83)</f>
        <v>8248129.4635739988</v>
      </c>
      <c r="Q134">
        <f>14102.1384*(0.83)</f>
        <v>11704.774871999998</v>
      </c>
      <c r="R134">
        <f>9542939.58848*(0.83)</f>
        <v>7920639.8584384006</v>
      </c>
      <c r="S134" s="13">
        <v>742</v>
      </c>
      <c r="T134" s="13">
        <v>2</v>
      </c>
      <c r="U134" s="13">
        <v>744</v>
      </c>
      <c r="V134" s="13">
        <v>2</v>
      </c>
    </row>
    <row r="135" spans="1:22" ht="14.4" x14ac:dyDescent="0.3">
      <c r="A135" t="s">
        <v>29</v>
      </c>
      <c r="B135" s="21">
        <f t="shared" si="13"/>
        <v>231</v>
      </c>
      <c r="C135" s="14"/>
      <c r="D135" s="12"/>
      <c r="E135" s="12"/>
      <c r="F135" s="12"/>
      <c r="G135" s="12"/>
      <c r="H135" s="12"/>
      <c r="I135" s="13"/>
      <c r="J135">
        <f t="shared" ref="J135:J149" si="23">0*(0.83)</f>
        <v>0</v>
      </c>
      <c r="K135" s="11"/>
      <c r="L135">
        <f t="shared" ref="L135:R135" si="24">0*(0.83)</f>
        <v>0</v>
      </c>
      <c r="M135">
        <f t="shared" si="24"/>
        <v>0</v>
      </c>
      <c r="N135">
        <f t="shared" si="24"/>
        <v>0</v>
      </c>
      <c r="O135">
        <f t="shared" si="24"/>
        <v>0</v>
      </c>
      <c r="P135">
        <f t="shared" si="24"/>
        <v>0</v>
      </c>
      <c r="Q135">
        <f t="shared" si="24"/>
        <v>0</v>
      </c>
      <c r="R135">
        <f t="shared" si="24"/>
        <v>0</v>
      </c>
      <c r="S135" s="13"/>
      <c r="T135" s="13"/>
      <c r="U135" s="13"/>
      <c r="V135" s="13"/>
    </row>
    <row r="136" spans="1:22" ht="14.4" x14ac:dyDescent="0.3">
      <c r="A136" s="21">
        <v>98</v>
      </c>
      <c r="B136" s="21">
        <f t="shared" si="13"/>
        <v>3267</v>
      </c>
      <c r="C136" s="14" t="s">
        <v>133</v>
      </c>
      <c r="D136" s="12"/>
      <c r="E136" s="12"/>
      <c r="F136" s="12">
        <v>3.2999999523162802</v>
      </c>
      <c r="G136" s="12" t="s">
        <v>30</v>
      </c>
      <c r="H136" s="12">
        <v>-15.7</v>
      </c>
      <c r="I136" s="13">
        <v>0</v>
      </c>
      <c r="J136">
        <f t="shared" si="23"/>
        <v>0</v>
      </c>
      <c r="K136" s="22">
        <v>0</v>
      </c>
      <c r="L136">
        <f t="shared" ref="L136:L143" si="25">0*(0.83)</f>
        <v>0</v>
      </c>
      <c r="M136">
        <f>6278.406*(0.83)</f>
        <v>5211.0769799999998</v>
      </c>
      <c r="N136">
        <f>0*(0.83)</f>
        <v>0</v>
      </c>
      <c r="O136">
        <f>6278.406*(0.83)</f>
        <v>5211.0769799999998</v>
      </c>
      <c r="P136">
        <f>9978297.75*(0.83)</f>
        <v>8281987.1324999994</v>
      </c>
      <c r="Q136">
        <f>10047.322*(0.83)</f>
        <v>8339.2772599999989</v>
      </c>
      <c r="R136">
        <f>9988345.072*(0.83)</f>
        <v>8290326.4097600002</v>
      </c>
      <c r="S136" s="13">
        <v>0</v>
      </c>
      <c r="T136" s="13">
        <v>0</v>
      </c>
      <c r="U136" s="13">
        <v>0</v>
      </c>
      <c r="V136" s="13">
        <v>0</v>
      </c>
    </row>
    <row r="137" spans="1:22" ht="9" customHeight="1" x14ac:dyDescent="0.3">
      <c r="A137"/>
      <c r="B137" s="21"/>
      <c r="C137" s="14"/>
      <c r="D137" s="12"/>
      <c r="E137" s="12"/>
      <c r="F137" s="12"/>
      <c r="G137" s="12"/>
      <c r="H137" s="12"/>
      <c r="I137" s="13"/>
      <c r="J137">
        <f t="shared" si="23"/>
        <v>0</v>
      </c>
      <c r="K137" s="22">
        <v>0</v>
      </c>
      <c r="L137">
        <f t="shared" si="25"/>
        <v>0</v>
      </c>
      <c r="M137">
        <f t="shared" ref="M137:M149" si="26">0*(0.83)</f>
        <v>0</v>
      </c>
      <c r="N137">
        <f>0*(0.83)</f>
        <v>0</v>
      </c>
      <c r="O137">
        <f>0*(0.83)</f>
        <v>0</v>
      </c>
      <c r="P137">
        <f>0*(0.83)</f>
        <v>0</v>
      </c>
      <c r="Q137">
        <f>0*(0.83)</f>
        <v>0</v>
      </c>
      <c r="R137">
        <f>0*(0.83)</f>
        <v>0</v>
      </c>
      <c r="S137" s="13"/>
      <c r="T137" s="13"/>
      <c r="U137" s="13"/>
      <c r="V137" s="13"/>
    </row>
    <row r="138" spans="1:22" ht="14.4" x14ac:dyDescent="0.3">
      <c r="A138" s="21">
        <v>99</v>
      </c>
      <c r="B138" s="21">
        <f t="shared" si="13"/>
        <v>3277</v>
      </c>
      <c r="C138" s="14" t="s">
        <v>134</v>
      </c>
      <c r="D138" s="12"/>
      <c r="E138" s="12"/>
      <c r="F138" s="12">
        <v>3.2999999523162802</v>
      </c>
      <c r="G138" s="12" t="s">
        <v>30</v>
      </c>
      <c r="H138" s="12">
        <v>-14.7</v>
      </c>
      <c r="I138" s="13">
        <v>0</v>
      </c>
      <c r="J138">
        <f t="shared" si="23"/>
        <v>0</v>
      </c>
      <c r="K138" s="22">
        <v>0</v>
      </c>
      <c r="L138">
        <f t="shared" si="25"/>
        <v>0</v>
      </c>
      <c r="M138">
        <f t="shared" si="26"/>
        <v>0</v>
      </c>
      <c r="N138">
        <f>0*(0.83)</f>
        <v>0</v>
      </c>
      <c r="O138">
        <f>0*(0.83)</f>
        <v>0</v>
      </c>
      <c r="P138">
        <f>10751295.78*(0.83)</f>
        <v>8923575.4973999988</v>
      </c>
      <c r="Q138">
        <f>9162*(0.83)</f>
        <v>7604.46</v>
      </c>
      <c r="R138">
        <f>10760457.78*(0.83)</f>
        <v>8931179.9573999997</v>
      </c>
      <c r="S138" s="13">
        <v>0</v>
      </c>
      <c r="T138" s="13">
        <v>0</v>
      </c>
      <c r="U138" s="13">
        <v>0</v>
      </c>
      <c r="V138" s="13">
        <v>0</v>
      </c>
    </row>
    <row r="139" spans="1:22" ht="9" customHeight="1" x14ac:dyDescent="0.3">
      <c r="A139"/>
      <c r="B139" s="21"/>
      <c r="C139" s="14"/>
      <c r="D139" s="12"/>
      <c r="E139" s="12"/>
      <c r="F139" s="12"/>
      <c r="G139" s="12"/>
      <c r="H139" s="12"/>
      <c r="I139" s="13"/>
      <c r="J139">
        <f t="shared" si="23"/>
        <v>0</v>
      </c>
      <c r="K139" s="22">
        <v>0</v>
      </c>
      <c r="L139">
        <f t="shared" si="25"/>
        <v>0</v>
      </c>
      <c r="M139">
        <f t="shared" si="26"/>
        <v>0</v>
      </c>
      <c r="N139">
        <f>0*(0.83)</f>
        <v>0</v>
      </c>
      <c r="O139">
        <f>0*(0.83)</f>
        <v>0</v>
      </c>
      <c r="P139">
        <f>0*(0.83)</f>
        <v>0</v>
      </c>
      <c r="Q139">
        <f>0*(0.83)</f>
        <v>0</v>
      </c>
      <c r="R139">
        <f>0*(0.83)</f>
        <v>0</v>
      </c>
      <c r="S139" s="13"/>
      <c r="T139" s="13"/>
      <c r="U139" s="13"/>
      <c r="V139" s="13"/>
    </row>
    <row r="140" spans="1:22" ht="14.4" x14ac:dyDescent="0.3">
      <c r="A140" s="21">
        <v>100</v>
      </c>
      <c r="B140" s="21">
        <f t="shared" si="13"/>
        <v>3345</v>
      </c>
      <c r="C140" s="14" t="s">
        <v>135</v>
      </c>
      <c r="D140" s="12"/>
      <c r="E140" s="12"/>
      <c r="F140" s="12">
        <v>3.2999999523162802</v>
      </c>
      <c r="G140" s="12" t="s">
        <v>30</v>
      </c>
      <c r="H140" s="12">
        <v>-3.9</v>
      </c>
      <c r="I140" s="13">
        <v>0</v>
      </c>
      <c r="J140">
        <f t="shared" si="23"/>
        <v>0</v>
      </c>
      <c r="K140" s="22">
        <v>0</v>
      </c>
      <c r="L140">
        <f t="shared" si="25"/>
        <v>0</v>
      </c>
      <c r="M140">
        <f t="shared" si="26"/>
        <v>0</v>
      </c>
      <c r="N140">
        <f>16.134*(0.83)</f>
        <v>13.391219999999999</v>
      </c>
      <c r="O140">
        <f>16.134*(0.83)</f>
        <v>13.391219999999999</v>
      </c>
      <c r="P140">
        <f>8472565.374*(0.83)</f>
        <v>7032229.2604199992</v>
      </c>
      <c r="Q140">
        <f>7915.134*(0.83)</f>
        <v>6569.5612199999996</v>
      </c>
      <c r="R140">
        <f>8480480.508*(0.83)</f>
        <v>7038798.8216399988</v>
      </c>
      <c r="S140" s="13">
        <v>0</v>
      </c>
      <c r="T140" s="13">
        <v>0</v>
      </c>
      <c r="U140" s="13">
        <v>0</v>
      </c>
      <c r="V140" s="13">
        <v>0</v>
      </c>
    </row>
    <row r="141" spans="1:22" ht="9" customHeight="1" x14ac:dyDescent="0.3">
      <c r="A141"/>
      <c r="B141" s="21"/>
      <c r="C141" s="14"/>
      <c r="D141" s="12"/>
      <c r="E141" s="12"/>
      <c r="F141" s="12"/>
      <c r="G141" s="12"/>
      <c r="H141" s="12"/>
      <c r="I141" s="13"/>
      <c r="J141">
        <f t="shared" si="23"/>
        <v>0</v>
      </c>
      <c r="K141" s="22">
        <v>0</v>
      </c>
      <c r="L141">
        <f t="shared" si="25"/>
        <v>0</v>
      </c>
      <c r="M141">
        <f t="shared" si="26"/>
        <v>0</v>
      </c>
      <c r="N141">
        <f>0*(0.83)</f>
        <v>0</v>
      </c>
      <c r="O141">
        <f>0*(0.83)</f>
        <v>0</v>
      </c>
      <c r="P141">
        <f>0*(0.83)</f>
        <v>0</v>
      </c>
      <c r="Q141">
        <f>0*(0.83)</f>
        <v>0</v>
      </c>
      <c r="R141">
        <f>0*(0.83)</f>
        <v>0</v>
      </c>
      <c r="S141" s="13"/>
      <c r="T141" s="13"/>
      <c r="U141" s="13"/>
      <c r="V141" s="13"/>
    </row>
    <row r="142" spans="1:22" ht="14.4" x14ac:dyDescent="0.3">
      <c r="A142" s="21">
        <v>101</v>
      </c>
      <c r="B142" s="21">
        <f t="shared" si="13"/>
        <v>3358</v>
      </c>
      <c r="C142" s="14" t="s">
        <v>136</v>
      </c>
      <c r="D142" s="12"/>
      <c r="E142" s="12"/>
      <c r="F142" s="12">
        <v>3.2999999523162802</v>
      </c>
      <c r="G142" s="12" t="s">
        <v>30</v>
      </c>
      <c r="H142" s="12">
        <v>-13.8</v>
      </c>
      <c r="I142" s="13">
        <v>0</v>
      </c>
      <c r="J142">
        <f t="shared" si="23"/>
        <v>0</v>
      </c>
      <c r="K142" s="22">
        <v>0</v>
      </c>
      <c r="L142">
        <f t="shared" si="25"/>
        <v>0</v>
      </c>
      <c r="M142">
        <f t="shared" si="26"/>
        <v>0</v>
      </c>
      <c r="N142">
        <f>0*(0.83)</f>
        <v>0</v>
      </c>
      <c r="O142">
        <f>0*(0.83)</f>
        <v>0</v>
      </c>
      <c r="P142">
        <f>6802476.072*(0.83)</f>
        <v>5646055.1397599997</v>
      </c>
      <c r="Q142">
        <f>8898.268*(0.83)</f>
        <v>7385.5624399999997</v>
      </c>
      <c r="R142">
        <f>6811374.34*(0.83)</f>
        <v>5653440.7021999992</v>
      </c>
      <c r="S142" s="13">
        <v>0</v>
      </c>
      <c r="T142" s="13">
        <v>0</v>
      </c>
      <c r="U142" s="13">
        <v>0</v>
      </c>
      <c r="V142" s="13">
        <v>0</v>
      </c>
    </row>
    <row r="143" spans="1:22" ht="9" customHeight="1" x14ac:dyDescent="0.3">
      <c r="A143"/>
      <c r="B143" s="21"/>
      <c r="C143" s="14"/>
      <c r="D143" s="12"/>
      <c r="E143" s="12"/>
      <c r="F143" s="12"/>
      <c r="G143" s="12"/>
      <c r="H143" s="12"/>
      <c r="I143" s="13"/>
      <c r="J143">
        <f t="shared" si="23"/>
        <v>0</v>
      </c>
      <c r="K143" s="22">
        <v>0</v>
      </c>
      <c r="L143">
        <f t="shared" si="25"/>
        <v>0</v>
      </c>
      <c r="M143">
        <f t="shared" si="26"/>
        <v>0</v>
      </c>
      <c r="N143">
        <f>0*(0.83)</f>
        <v>0</v>
      </c>
      <c r="O143">
        <f>0*(0.83)</f>
        <v>0</v>
      </c>
      <c r="P143">
        <f>0*(0.83)</f>
        <v>0</v>
      </c>
      <c r="Q143">
        <f>0*(0.83)</f>
        <v>0</v>
      </c>
      <c r="R143">
        <f>0*(0.83)</f>
        <v>0</v>
      </c>
      <c r="S143" s="13"/>
      <c r="T143" s="13"/>
      <c r="U143" s="13"/>
      <c r="V143" s="13"/>
    </row>
    <row r="144" spans="1:22" ht="14.4" x14ac:dyDescent="0.3">
      <c r="A144" s="21">
        <v>102</v>
      </c>
      <c r="B144" s="21">
        <f t="shared" ref="B144:B156" si="27">C144+231</f>
        <v>3362</v>
      </c>
      <c r="C144" s="14" t="s">
        <v>137</v>
      </c>
      <c r="D144" s="12"/>
      <c r="E144" s="12"/>
      <c r="F144" s="12">
        <v>3.2999999523162802</v>
      </c>
      <c r="G144" s="12" t="s">
        <v>30</v>
      </c>
      <c r="H144" s="12">
        <v>-12.5</v>
      </c>
      <c r="I144" s="13">
        <v>0</v>
      </c>
      <c r="J144">
        <f t="shared" si="23"/>
        <v>0</v>
      </c>
      <c r="K144" s="22">
        <v>34.192</v>
      </c>
      <c r="L144">
        <f>34.192*(0.83)</f>
        <v>28.379359999999998</v>
      </c>
      <c r="M144">
        <f t="shared" si="26"/>
        <v>0</v>
      </c>
      <c r="N144">
        <f>34.192*(0.83)</f>
        <v>28.379359999999998</v>
      </c>
      <c r="O144">
        <f>34.192*(0.83)</f>
        <v>28.379359999999998</v>
      </c>
      <c r="P144">
        <f>7134523.984*(0.83)</f>
        <v>5921654.9067200003</v>
      </c>
      <c r="Q144">
        <f>6551.192*(0.83)</f>
        <v>5437.4893599999996</v>
      </c>
      <c r="R144">
        <f>7141075.176*(0.83)</f>
        <v>5927092.3960799994</v>
      </c>
      <c r="S144" s="13">
        <v>0</v>
      </c>
      <c r="T144" s="13">
        <v>0</v>
      </c>
      <c r="U144" s="13">
        <v>0</v>
      </c>
      <c r="V144" s="13">
        <v>0</v>
      </c>
    </row>
    <row r="145" spans="1:22" ht="9" customHeight="1" x14ac:dyDescent="0.3">
      <c r="A145"/>
      <c r="B145" s="21"/>
      <c r="C145" s="14"/>
      <c r="D145" s="12"/>
      <c r="E145" s="12"/>
      <c r="F145" s="12"/>
      <c r="G145" s="12"/>
      <c r="H145" s="12"/>
      <c r="I145" s="13"/>
      <c r="J145">
        <f t="shared" si="23"/>
        <v>0</v>
      </c>
      <c r="K145" s="22">
        <v>0</v>
      </c>
      <c r="L145">
        <f>0*(0.83)</f>
        <v>0</v>
      </c>
      <c r="M145">
        <f t="shared" si="26"/>
        <v>0</v>
      </c>
      <c r="N145">
        <f>0*(0.83)</f>
        <v>0</v>
      </c>
      <c r="O145">
        <f>0*(0.83)</f>
        <v>0</v>
      </c>
      <c r="P145">
        <f>0*(0.83)</f>
        <v>0</v>
      </c>
      <c r="Q145">
        <f>0*(0.83)</f>
        <v>0</v>
      </c>
      <c r="R145">
        <f>0*(0.83)</f>
        <v>0</v>
      </c>
      <c r="S145" s="13"/>
      <c r="T145" s="13"/>
      <c r="U145" s="13"/>
      <c r="V145" s="13"/>
    </row>
    <row r="146" spans="1:22" ht="14.4" x14ac:dyDescent="0.3">
      <c r="A146" s="21">
        <v>103</v>
      </c>
      <c r="B146" s="21">
        <f t="shared" si="27"/>
        <v>3378</v>
      </c>
      <c r="C146" s="14" t="s">
        <v>138</v>
      </c>
      <c r="D146" s="12"/>
      <c r="E146" s="12"/>
      <c r="F146" s="12">
        <v>3.2999999523162802</v>
      </c>
      <c r="G146" s="12" t="s">
        <v>30</v>
      </c>
      <c r="H146" s="12">
        <v>-11.3</v>
      </c>
      <c r="I146" s="13">
        <v>0</v>
      </c>
      <c r="J146">
        <f t="shared" si="23"/>
        <v>0</v>
      </c>
      <c r="K146" s="22">
        <v>0</v>
      </c>
      <c r="L146">
        <f>0*(0.83)</f>
        <v>0</v>
      </c>
      <c r="M146">
        <f t="shared" si="26"/>
        <v>0</v>
      </c>
      <c r="N146">
        <f t="shared" ref="N146:O149" si="28">0*(0.83)</f>
        <v>0</v>
      </c>
      <c r="O146">
        <f t="shared" si="28"/>
        <v>0</v>
      </c>
      <c r="P146">
        <f>10876253.09*(0.83)</f>
        <v>9027290.0647</v>
      </c>
      <c r="Q146">
        <f>8518.8*(0.83)</f>
        <v>7070.6039999999994</v>
      </c>
      <c r="R146">
        <f>10884771.89*(0.83)</f>
        <v>9034360.6687000003</v>
      </c>
      <c r="S146" s="13">
        <v>0</v>
      </c>
      <c r="T146" s="13">
        <v>0</v>
      </c>
      <c r="U146" s="13">
        <v>0</v>
      </c>
      <c r="V146" s="13">
        <v>0</v>
      </c>
    </row>
    <row r="147" spans="1:22" ht="14.4" x14ac:dyDescent="0.3">
      <c r="A147" s="21">
        <v>104</v>
      </c>
      <c r="B147" s="21">
        <f t="shared" si="27"/>
        <v>3379</v>
      </c>
      <c r="C147" s="14" t="s">
        <v>139</v>
      </c>
      <c r="D147" s="12"/>
      <c r="E147" s="12"/>
      <c r="F147" s="12">
        <v>3.2999999523162802</v>
      </c>
      <c r="G147" s="12" t="s">
        <v>30</v>
      </c>
      <c r="H147" s="12">
        <v>-11.3</v>
      </c>
      <c r="I147" s="13">
        <v>0</v>
      </c>
      <c r="J147">
        <f t="shared" si="23"/>
        <v>0</v>
      </c>
      <c r="K147" s="22">
        <v>0</v>
      </c>
      <c r="L147">
        <f>0*(0.83)</f>
        <v>0</v>
      </c>
      <c r="M147">
        <f t="shared" si="26"/>
        <v>0</v>
      </c>
      <c r="N147">
        <f t="shared" si="28"/>
        <v>0</v>
      </c>
      <c r="O147">
        <f t="shared" si="28"/>
        <v>0</v>
      </c>
      <c r="P147">
        <f>11573895.528*(0.83)</f>
        <v>9606333.2882400006</v>
      </c>
      <c r="Q147">
        <f>9445.42*(0.83)</f>
        <v>7839.6985999999997</v>
      </c>
      <c r="R147">
        <f>11583340.948*(0.83)</f>
        <v>9614172.9868400004</v>
      </c>
      <c r="S147" s="13">
        <v>0</v>
      </c>
      <c r="T147" s="13">
        <v>0</v>
      </c>
      <c r="U147" s="13">
        <v>0</v>
      </c>
      <c r="V147" s="13">
        <v>0</v>
      </c>
    </row>
    <row r="148" spans="1:22" ht="9" customHeight="1" x14ac:dyDescent="0.3">
      <c r="A148"/>
      <c r="B148" s="21"/>
      <c r="C148" s="14"/>
      <c r="D148" s="12"/>
      <c r="E148" s="12"/>
      <c r="F148" s="12"/>
      <c r="G148" s="12"/>
      <c r="H148" s="12"/>
      <c r="I148" s="13"/>
      <c r="J148">
        <f t="shared" si="23"/>
        <v>0</v>
      </c>
      <c r="K148" s="22">
        <v>0</v>
      </c>
      <c r="L148">
        <f>0*(0.83)</f>
        <v>0</v>
      </c>
      <c r="M148">
        <f t="shared" si="26"/>
        <v>0</v>
      </c>
      <c r="N148">
        <f t="shared" si="28"/>
        <v>0</v>
      </c>
      <c r="O148">
        <f t="shared" si="28"/>
        <v>0</v>
      </c>
      <c r="P148">
        <f>0*(0.83)</f>
        <v>0</v>
      </c>
      <c r="Q148">
        <f>0*(0.83)</f>
        <v>0</v>
      </c>
      <c r="R148">
        <f>0*(0.83)</f>
        <v>0</v>
      </c>
      <c r="S148" s="13"/>
      <c r="T148" s="13"/>
      <c r="U148" s="13"/>
      <c r="V148" s="13"/>
    </row>
    <row r="149" spans="1:22" ht="14.4" x14ac:dyDescent="0.3">
      <c r="A149" s="21">
        <v>105</v>
      </c>
      <c r="B149" s="21">
        <f t="shared" si="27"/>
        <v>3406</v>
      </c>
      <c r="C149" s="14" t="s">
        <v>140</v>
      </c>
      <c r="D149" s="12"/>
      <c r="E149" s="12"/>
      <c r="F149" s="12">
        <v>3.2999999523162802</v>
      </c>
      <c r="G149" s="12" t="s">
        <v>30</v>
      </c>
      <c r="H149" s="12">
        <v>-5.3</v>
      </c>
      <c r="I149" s="13">
        <v>0</v>
      </c>
      <c r="J149">
        <f t="shared" si="23"/>
        <v>0</v>
      </c>
      <c r="K149" s="22">
        <v>0</v>
      </c>
      <c r="L149">
        <f>0*(0.83)</f>
        <v>0</v>
      </c>
      <c r="M149">
        <f t="shared" si="26"/>
        <v>0</v>
      </c>
      <c r="N149">
        <f t="shared" si="28"/>
        <v>0</v>
      </c>
      <c r="O149">
        <f t="shared" si="28"/>
        <v>0</v>
      </c>
      <c r="P149">
        <f>8570576.95*(0.83)</f>
        <v>7113578.8684999989</v>
      </c>
      <c r="Q149">
        <f>7388.866*(0.83)</f>
        <v>6132.7587800000001</v>
      </c>
      <c r="R149">
        <f>8577965.816*(0.83)</f>
        <v>7119711.6272799997</v>
      </c>
      <c r="S149" s="13">
        <v>0</v>
      </c>
      <c r="T149" s="13">
        <v>0</v>
      </c>
      <c r="U149" s="13">
        <v>0</v>
      </c>
      <c r="V149" s="13">
        <v>0</v>
      </c>
    </row>
    <row r="150" spans="1:22" ht="14.4" x14ac:dyDescent="0.3">
      <c r="A150" t="s">
        <v>31</v>
      </c>
      <c r="B150" s="21">
        <f t="shared" si="27"/>
        <v>231</v>
      </c>
      <c r="C150" s="14"/>
      <c r="D150" s="12"/>
      <c r="E150" s="12"/>
      <c r="F150" s="12"/>
      <c r="G150" s="12"/>
      <c r="H150" s="12"/>
      <c r="I150" s="13"/>
      <c r="J150" s="11"/>
      <c r="K150" s="11"/>
      <c r="L150" s="11"/>
      <c r="M150" s="11"/>
      <c r="N150" s="11"/>
      <c r="O150" s="11"/>
      <c r="P150" s="11"/>
      <c r="Q150" s="11"/>
      <c r="R150" s="11"/>
      <c r="S150" s="13"/>
      <c r="T150" s="13"/>
      <c r="U150" s="13"/>
      <c r="V150" s="13"/>
    </row>
    <row r="151" spans="1:22" ht="14.4" x14ac:dyDescent="0.3">
      <c r="A151" t="s">
        <v>32</v>
      </c>
      <c r="B151" s="21">
        <f t="shared" si="27"/>
        <v>231</v>
      </c>
      <c r="C151" s="14"/>
      <c r="D151" s="12"/>
      <c r="E151" s="12"/>
      <c r="F151" s="12"/>
      <c r="G151" s="12"/>
      <c r="H151" s="12"/>
      <c r="I151" s="13"/>
      <c r="J151" s="11"/>
      <c r="K151" s="11"/>
      <c r="L151" s="11"/>
      <c r="M151" s="11"/>
      <c r="N151" s="11"/>
      <c r="O151" s="11"/>
      <c r="P151" s="11"/>
      <c r="Q151" s="11"/>
      <c r="R151" s="11"/>
      <c r="S151" s="13"/>
      <c r="T151" s="13"/>
      <c r="U151" s="13"/>
      <c r="V151" s="13"/>
    </row>
    <row r="152" spans="1:22" ht="14.4" x14ac:dyDescent="0.3">
      <c r="A152" s="21">
        <v>106</v>
      </c>
      <c r="B152" s="21">
        <f t="shared" si="27"/>
        <v>3265</v>
      </c>
      <c r="C152" s="14" t="s">
        <v>141</v>
      </c>
      <c r="D152" s="12"/>
      <c r="E152" s="12"/>
      <c r="F152" s="12"/>
      <c r="G152" s="12"/>
      <c r="H152" s="12"/>
      <c r="I152" s="13"/>
      <c r="J152" s="11"/>
      <c r="K152" s="11"/>
      <c r="L152" s="11"/>
      <c r="M152" s="11"/>
      <c r="N152" s="11"/>
      <c r="O152" s="11"/>
      <c r="P152">
        <v>6723723.1639999999</v>
      </c>
      <c r="Q152">
        <v>7572.6</v>
      </c>
      <c r="R152">
        <v>6731295.7640000004</v>
      </c>
      <c r="S152" s="13"/>
      <c r="T152" s="13"/>
      <c r="U152" s="13"/>
      <c r="V152" s="13"/>
    </row>
    <row r="153" spans="1:22" ht="14.4" x14ac:dyDescent="0.3">
      <c r="A153" s="21">
        <v>107</v>
      </c>
      <c r="B153" s="21">
        <f t="shared" si="27"/>
        <v>3303</v>
      </c>
      <c r="C153" s="14" t="s">
        <v>142</v>
      </c>
      <c r="D153" s="12"/>
      <c r="E153" s="12"/>
      <c r="F153" s="12"/>
      <c r="G153" s="12"/>
      <c r="H153" s="12"/>
      <c r="I153" s="13"/>
      <c r="J153" s="11"/>
      <c r="K153" s="11"/>
      <c r="L153" s="11"/>
      <c r="M153" s="11">
        <v>0</v>
      </c>
      <c r="N153" s="11">
        <v>0</v>
      </c>
      <c r="O153" s="11">
        <v>0</v>
      </c>
      <c r="P153">
        <v>10591526.558</v>
      </c>
      <c r="Q153">
        <v>7542</v>
      </c>
      <c r="R153">
        <v>10599068.558</v>
      </c>
      <c r="S153" s="13"/>
      <c r="T153" s="13"/>
      <c r="U153" s="13"/>
      <c r="V153" s="13"/>
    </row>
    <row r="154" spans="1:22" ht="14.4" x14ac:dyDescent="0.3">
      <c r="A154" s="21">
        <v>108</v>
      </c>
      <c r="B154" s="21">
        <f t="shared" si="27"/>
        <v>3304</v>
      </c>
      <c r="C154" s="14" t="s">
        <v>143</v>
      </c>
      <c r="D154" s="12"/>
      <c r="E154" s="12"/>
      <c r="F154" s="12"/>
      <c r="G154" s="12"/>
      <c r="H154" s="12"/>
      <c r="I154" s="13"/>
      <c r="J154" s="11"/>
      <c r="K154" s="11"/>
      <c r="L154" s="11"/>
      <c r="M154" s="11"/>
      <c r="N154" s="11"/>
      <c r="O154" s="11"/>
      <c r="P154">
        <v>8259400.4620000003</v>
      </c>
      <c r="Q154">
        <v>5578</v>
      </c>
      <c r="R154">
        <v>8264978.4620000003</v>
      </c>
      <c r="S154" s="13"/>
      <c r="T154" s="13"/>
      <c r="U154" s="13"/>
      <c r="V154" s="13"/>
    </row>
    <row r="155" spans="1:22" ht="14.4" x14ac:dyDescent="0.3">
      <c r="A155" s="21">
        <v>109</v>
      </c>
      <c r="B155" s="21">
        <f t="shared" si="27"/>
        <v>3357</v>
      </c>
      <c r="C155" s="14" t="s">
        <v>144</v>
      </c>
      <c r="D155" s="12"/>
      <c r="E155" s="12"/>
      <c r="F155" s="12"/>
      <c r="G155" s="12"/>
      <c r="H155" s="12"/>
      <c r="I155" s="13"/>
      <c r="J155" s="11"/>
      <c r="K155" s="11"/>
      <c r="L155" s="11"/>
      <c r="M155" s="11"/>
      <c r="N155" s="11"/>
      <c r="O155" s="11"/>
      <c r="P155">
        <v>1746270</v>
      </c>
      <c r="Q155">
        <v>18060.8</v>
      </c>
      <c r="R155">
        <v>1764330.8</v>
      </c>
      <c r="S155" s="13"/>
      <c r="T155" s="13"/>
      <c r="U155" s="13"/>
      <c r="V155" s="13"/>
    </row>
    <row r="156" spans="1:22" ht="14.4" x14ac:dyDescent="0.3">
      <c r="A156" s="21">
        <v>110</v>
      </c>
      <c r="B156" s="21">
        <f t="shared" si="27"/>
        <v>3366</v>
      </c>
      <c r="C156" s="14" t="s">
        <v>145</v>
      </c>
      <c r="D156" s="12"/>
      <c r="E156" s="12"/>
      <c r="F156" s="12"/>
      <c r="G156" s="12"/>
      <c r="H156" s="12"/>
      <c r="I156" s="13"/>
      <c r="J156" s="11"/>
      <c r="K156" s="11"/>
      <c r="L156" s="11"/>
      <c r="M156" s="11"/>
      <c r="N156" s="11"/>
      <c r="O156" s="11"/>
      <c r="P156">
        <v>5721040.0020000003</v>
      </c>
      <c r="Q156">
        <v>8576.6</v>
      </c>
      <c r="R156">
        <v>5729616.602</v>
      </c>
      <c r="S156" s="13"/>
      <c r="T156" s="13"/>
      <c r="U156" s="13"/>
      <c r="V156" s="13"/>
    </row>
    <row r="157" spans="1:22" x14ac:dyDescent="0.25">
      <c r="A157"/>
      <c r="B157"/>
      <c r="C157" s="14"/>
      <c r="D157" s="12"/>
      <c r="E157" s="12"/>
      <c r="F157" s="12"/>
      <c r="G157" s="12"/>
      <c r="H157" s="12"/>
      <c r="I157" s="13"/>
      <c r="J157" s="11"/>
      <c r="K157" s="11"/>
      <c r="L157" s="11"/>
      <c r="M157" s="11"/>
      <c r="N157" s="11"/>
      <c r="O157" s="11"/>
      <c r="P157" s="11"/>
      <c r="Q157" s="11"/>
      <c r="R157" s="11"/>
      <c r="S157" s="13"/>
      <c r="T157" s="13"/>
      <c r="U157" s="13"/>
      <c r="V157" s="13"/>
    </row>
    <row r="158" spans="1:22" x14ac:dyDescent="0.25">
      <c r="A158" t="s">
        <v>33</v>
      </c>
      <c r="B158"/>
      <c r="C158" s="14"/>
      <c r="D158" s="12"/>
      <c r="E158" s="12"/>
      <c r="F158" s="12"/>
      <c r="G158" s="12"/>
      <c r="H158" s="12"/>
      <c r="I158" s="13"/>
      <c r="J158"/>
      <c r="K158"/>
      <c r="L158"/>
      <c r="M158"/>
      <c r="N158"/>
      <c r="O158"/>
      <c r="P158"/>
      <c r="Q158"/>
      <c r="R158"/>
      <c r="S158" s="13"/>
      <c r="T158" s="13"/>
      <c r="U158" s="13"/>
      <c r="V158" s="13"/>
    </row>
    <row r="159" spans="1:22" x14ac:dyDescent="0.25">
      <c r="A159" t="s">
        <v>34</v>
      </c>
      <c r="B159"/>
      <c r="C159" s="14"/>
      <c r="D159" s="12"/>
      <c r="E159" s="12"/>
      <c r="F159" s="12"/>
      <c r="G159" s="12"/>
      <c r="H159" s="12"/>
      <c r="I159" s="13"/>
      <c r="J159"/>
      <c r="K159"/>
      <c r="L159"/>
      <c r="M159"/>
      <c r="N159"/>
      <c r="O159"/>
      <c r="P159"/>
      <c r="Q159"/>
      <c r="R159"/>
      <c r="S159" s="13"/>
      <c r="T159" s="13"/>
      <c r="U159" s="13"/>
      <c r="V159" s="13"/>
    </row>
    <row r="160" spans="1:22" x14ac:dyDescent="0.25">
      <c r="A160" t="s">
        <v>35</v>
      </c>
      <c r="B160"/>
      <c r="C160" s="14"/>
      <c r="D160" s="12"/>
      <c r="E160" s="12"/>
      <c r="F160" s="12"/>
      <c r="G160" s="12"/>
      <c r="H160" s="12"/>
      <c r="I160" s="13"/>
      <c r="J160"/>
      <c r="K160"/>
      <c r="L160"/>
      <c r="M160"/>
      <c r="N160"/>
      <c r="O160"/>
      <c r="P160"/>
      <c r="Q160"/>
      <c r="R160"/>
      <c r="S160" s="13"/>
      <c r="T160" s="13"/>
      <c r="U160" s="13"/>
      <c r="V160" s="13"/>
    </row>
    <row r="161" spans="1:22" x14ac:dyDescent="0.25">
      <c r="A161"/>
      <c r="B161"/>
      <c r="C161" s="14"/>
      <c r="D161" s="12"/>
      <c r="E161" s="12"/>
      <c r="F161" s="12"/>
      <c r="G161" s="12"/>
      <c r="H161" s="12"/>
      <c r="I161" s="13"/>
      <c r="J161" s="11"/>
      <c r="K161" s="11"/>
      <c r="L161" s="11"/>
      <c r="M161" s="11"/>
      <c r="N161" s="11"/>
      <c r="O161" s="11"/>
      <c r="P161" s="11"/>
      <c r="Q161" s="11"/>
      <c r="R161" s="11"/>
      <c r="S161" s="13"/>
      <c r="T161" s="13"/>
      <c r="U161" s="13"/>
      <c r="V161" s="13"/>
    </row>
    <row r="162" spans="1:22" x14ac:dyDescent="0.25">
      <c r="A162"/>
      <c r="B162"/>
      <c r="C162" s="14"/>
      <c r="D162" s="12"/>
      <c r="E162" s="12"/>
      <c r="F162" s="12"/>
      <c r="G162" s="12"/>
      <c r="H162" s="12"/>
      <c r="I162" s="13"/>
      <c r="J162" s="11"/>
      <c r="K162" s="11"/>
      <c r="L162" s="11"/>
      <c r="M162" s="11"/>
      <c r="N162" s="11"/>
      <c r="O162" s="11"/>
      <c r="P162" s="11"/>
      <c r="Q162" s="11"/>
      <c r="R162" s="11"/>
      <c r="S162" s="13"/>
      <c r="T162" s="13"/>
      <c r="U162" s="13"/>
      <c r="V162" s="13"/>
    </row>
    <row r="163" spans="1:22" x14ac:dyDescent="0.25">
      <c r="A163"/>
      <c r="B163"/>
      <c r="C163" s="14"/>
      <c r="D163" s="12"/>
      <c r="E163" s="12"/>
      <c r="F163" s="12"/>
      <c r="G163" s="12"/>
      <c r="H163" s="12"/>
      <c r="I163" s="13"/>
      <c r="J163" s="11"/>
      <c r="K163" s="11"/>
      <c r="L163" s="11"/>
      <c r="M163" s="11"/>
      <c r="N163" s="11"/>
      <c r="O163" s="11"/>
      <c r="P163" s="11"/>
      <c r="Q163" s="11"/>
      <c r="R163" s="11"/>
      <c r="S163" s="13"/>
      <c r="T163" s="13"/>
      <c r="U163" s="13"/>
      <c r="V163" s="13"/>
    </row>
    <row r="164" spans="1:22" x14ac:dyDescent="0.25">
      <c r="A164"/>
      <c r="B164"/>
      <c r="C164" s="14"/>
      <c r="D164" s="12"/>
      <c r="E164" s="12"/>
      <c r="F164" s="12"/>
      <c r="G164" s="12"/>
      <c r="H164" s="12"/>
      <c r="I164" s="13"/>
      <c r="J164" s="11"/>
      <c r="K164" s="11"/>
      <c r="L164" s="11"/>
      <c r="M164" s="11"/>
      <c r="N164" s="11"/>
      <c r="O164" s="11"/>
      <c r="P164" s="11"/>
      <c r="Q164" s="11"/>
      <c r="R164" s="11"/>
      <c r="S164" s="13"/>
      <c r="T164" s="13"/>
      <c r="U164" s="13"/>
      <c r="V164" s="13"/>
    </row>
    <row r="165" spans="1:22" x14ac:dyDescent="0.25">
      <c r="A165"/>
      <c r="B165"/>
      <c r="C165" s="14"/>
      <c r="D165" s="12"/>
      <c r="E165" s="12"/>
      <c r="F165" s="12"/>
      <c r="G165" s="12"/>
      <c r="H165" s="12"/>
      <c r="I165" s="13"/>
      <c r="J165" s="11"/>
      <c r="K165" s="11"/>
      <c r="L165" s="11"/>
      <c r="M165" s="11"/>
      <c r="N165" s="11"/>
      <c r="O165" s="11"/>
      <c r="P165" s="11"/>
      <c r="Q165" s="11"/>
      <c r="R165" s="11"/>
      <c r="S165" s="13"/>
      <c r="T165" s="13"/>
      <c r="U165" s="13"/>
      <c r="V165" s="13"/>
    </row>
    <row r="166" spans="1:22" x14ac:dyDescent="0.25">
      <c r="A166"/>
      <c r="B166"/>
      <c r="C166" s="14"/>
      <c r="D166" s="12"/>
      <c r="E166" s="12"/>
      <c r="F166" s="12"/>
      <c r="G166" s="12"/>
      <c r="H166" s="12"/>
      <c r="I166" s="13"/>
      <c r="J166" s="11"/>
      <c r="K166" s="11"/>
      <c r="L166" s="11"/>
      <c r="M166" s="11"/>
      <c r="N166" s="11"/>
      <c r="O166" s="11"/>
      <c r="P166" s="11"/>
      <c r="Q166" s="11"/>
      <c r="R166" s="11"/>
      <c r="S166" s="13"/>
      <c r="T166" s="13"/>
      <c r="U166" s="13"/>
      <c r="V166" s="13"/>
    </row>
    <row r="167" spans="1:22" x14ac:dyDescent="0.25">
      <c r="A167"/>
      <c r="B167"/>
      <c r="C167" s="14"/>
      <c r="D167" s="12"/>
      <c r="E167" s="12"/>
      <c r="F167" s="12"/>
      <c r="G167" s="12"/>
      <c r="H167" s="12"/>
      <c r="I167" s="13"/>
      <c r="J167" s="11"/>
      <c r="K167" s="11"/>
      <c r="L167" s="11"/>
      <c r="M167" s="11"/>
      <c r="N167" s="11"/>
      <c r="O167" s="11"/>
      <c r="P167" s="11"/>
      <c r="Q167" s="11"/>
      <c r="R167" s="11"/>
      <c r="S167" s="13"/>
      <c r="T167" s="13"/>
      <c r="U167" s="13"/>
      <c r="V167" s="13"/>
    </row>
    <row r="168" spans="1:22" x14ac:dyDescent="0.25">
      <c r="A168"/>
      <c r="B168"/>
      <c r="C168" s="14"/>
      <c r="D168" s="12"/>
      <c r="E168" s="12"/>
      <c r="F168" s="12"/>
      <c r="G168" s="12"/>
      <c r="H168" s="12"/>
      <c r="I168" s="13"/>
      <c r="J168" s="11"/>
      <c r="K168" s="11"/>
      <c r="L168" s="11"/>
      <c r="M168" s="11"/>
      <c r="N168" s="11"/>
      <c r="O168" s="11"/>
      <c r="P168" s="11"/>
      <c r="Q168" s="11"/>
      <c r="R168" s="11"/>
      <c r="S168" s="13"/>
      <c r="T168" s="13"/>
      <c r="U168" s="13"/>
      <c r="V168" s="13"/>
    </row>
    <row r="169" spans="1:22" x14ac:dyDescent="0.25">
      <c r="A169"/>
      <c r="B169"/>
      <c r="C169" s="14"/>
      <c r="D169" s="12"/>
      <c r="E169" s="12"/>
      <c r="F169" s="12"/>
      <c r="G169" s="12"/>
      <c r="H169" s="12"/>
      <c r="I169" s="13"/>
      <c r="J169" s="11"/>
      <c r="K169" s="11"/>
      <c r="L169" s="11"/>
      <c r="M169" s="11"/>
      <c r="N169" s="11"/>
      <c r="O169" s="11"/>
      <c r="P169" s="11"/>
      <c r="Q169" s="11"/>
      <c r="R169" s="11"/>
      <c r="S169" s="13"/>
      <c r="T169" s="13"/>
      <c r="U169" s="13"/>
      <c r="V169" s="13"/>
    </row>
    <row r="170" spans="1:22" x14ac:dyDescent="0.25">
      <c r="A170"/>
      <c r="B170"/>
      <c r="C170" s="14"/>
      <c r="D170" s="12"/>
      <c r="E170" s="12"/>
      <c r="F170" s="12"/>
      <c r="G170" s="12"/>
      <c r="H170" s="12"/>
      <c r="I170" s="13"/>
      <c r="J170" s="11"/>
      <c r="K170" s="11"/>
      <c r="L170" s="11"/>
      <c r="M170" s="11"/>
      <c r="N170" s="11"/>
      <c r="O170" s="11"/>
      <c r="P170" s="11"/>
      <c r="Q170" s="11"/>
      <c r="R170" s="11"/>
      <c r="S170" s="13"/>
      <c r="T170" s="13"/>
      <c r="U170" s="13"/>
      <c r="V170" s="13"/>
    </row>
    <row r="171" spans="1:22" x14ac:dyDescent="0.25">
      <c r="A171"/>
      <c r="B171"/>
      <c r="C171" s="14"/>
      <c r="D171" s="12"/>
      <c r="E171" s="12"/>
      <c r="F171" s="12"/>
      <c r="G171" s="12"/>
      <c r="H171" s="12"/>
      <c r="I171" s="13"/>
      <c r="J171" s="11"/>
      <c r="K171" s="11"/>
      <c r="L171" s="11"/>
      <c r="M171" s="11"/>
      <c r="N171" s="11"/>
      <c r="O171" s="11"/>
      <c r="P171" s="11"/>
      <c r="Q171" s="11"/>
      <c r="R171" s="11"/>
      <c r="S171" s="13"/>
      <c r="T171" s="13"/>
      <c r="U171" s="13"/>
      <c r="V171" s="13"/>
    </row>
    <row r="172" spans="1:22" x14ac:dyDescent="0.25">
      <c r="A172"/>
      <c r="B172"/>
      <c r="C172" s="14"/>
      <c r="D172" s="12"/>
      <c r="E172" s="12"/>
      <c r="F172" s="12"/>
      <c r="G172" s="12"/>
      <c r="H172" s="12"/>
      <c r="I172" s="13"/>
      <c r="J172" s="11"/>
      <c r="K172" s="11"/>
      <c r="L172" s="11"/>
      <c r="M172" s="11"/>
      <c r="N172" s="11"/>
      <c r="O172" s="11"/>
      <c r="P172" s="11"/>
      <c r="Q172" s="11"/>
      <c r="R172" s="11"/>
      <c r="S172" s="13"/>
      <c r="T172" s="13"/>
      <c r="U172" s="13"/>
      <c r="V172" s="13"/>
    </row>
    <row r="173" spans="1:22" x14ac:dyDescent="0.25">
      <c r="A173"/>
      <c r="B173"/>
      <c r="C173" s="14"/>
      <c r="D173" s="12"/>
      <c r="E173" s="12"/>
      <c r="F173" s="12"/>
      <c r="G173" s="12"/>
      <c r="H173" s="12"/>
      <c r="I173" s="13"/>
      <c r="J173" s="11"/>
      <c r="K173" s="11"/>
      <c r="L173" s="11"/>
      <c r="M173" s="11"/>
      <c r="N173" s="11"/>
      <c r="O173" s="11"/>
      <c r="P173" s="11"/>
      <c r="Q173" s="11"/>
      <c r="R173" s="11"/>
      <c r="S173" s="13"/>
      <c r="T173" s="13"/>
      <c r="U173" s="13"/>
      <c r="V173" s="13"/>
    </row>
    <row r="174" spans="1:22" x14ac:dyDescent="0.25">
      <c r="A174"/>
      <c r="B174"/>
      <c r="C174" s="14"/>
      <c r="D174" s="12"/>
      <c r="E174" s="12"/>
      <c r="F174" s="12"/>
      <c r="G174" s="12"/>
      <c r="H174" s="12"/>
      <c r="I174" s="13"/>
      <c r="J174" s="11"/>
      <c r="K174" s="11"/>
      <c r="L174" s="11"/>
      <c r="M174" s="11"/>
      <c r="N174" s="11"/>
      <c r="O174" s="11"/>
      <c r="P174" s="11"/>
      <c r="Q174" s="11"/>
      <c r="R174" s="11"/>
      <c r="S174" s="13"/>
      <c r="T174" s="13"/>
      <c r="U174" s="13"/>
      <c r="V174" s="13"/>
    </row>
    <row r="175" spans="1:22" x14ac:dyDescent="0.25">
      <c r="A175"/>
      <c r="B175"/>
      <c r="C175" s="14"/>
      <c r="D175" s="12"/>
      <c r="E175" s="12"/>
      <c r="F175" s="12"/>
      <c r="G175" s="12"/>
      <c r="H175" s="12"/>
      <c r="I175" s="13"/>
      <c r="J175" s="11"/>
      <c r="K175" s="11"/>
      <c r="L175" s="11"/>
      <c r="M175" s="11"/>
      <c r="N175" s="11"/>
      <c r="O175" s="11"/>
      <c r="P175" s="11"/>
      <c r="Q175" s="11"/>
      <c r="R175" s="11"/>
      <c r="S175" s="13"/>
      <c r="T175" s="13"/>
      <c r="U175" s="13"/>
      <c r="V175" s="13"/>
    </row>
    <row r="176" spans="1:22" x14ac:dyDescent="0.25">
      <c r="A176"/>
      <c r="B176"/>
      <c r="C176" s="14"/>
      <c r="D176" s="12"/>
      <c r="E176" s="12"/>
      <c r="F176" s="12"/>
      <c r="G176" s="12"/>
      <c r="H176" s="12"/>
      <c r="I176" s="13"/>
      <c r="J176" s="11"/>
      <c r="K176" s="11"/>
      <c r="L176" s="11"/>
      <c r="M176" s="11"/>
      <c r="N176" s="11"/>
      <c r="O176" s="11"/>
      <c r="P176" s="11"/>
      <c r="Q176" s="11"/>
      <c r="R176" s="11"/>
      <c r="S176" s="13"/>
      <c r="T176" s="13"/>
      <c r="U176" s="13"/>
      <c r="V176" s="13"/>
    </row>
    <row r="177" spans="1:22" x14ac:dyDescent="0.25">
      <c r="A177"/>
      <c r="B177"/>
      <c r="C177" s="14"/>
      <c r="D177" s="12"/>
      <c r="E177" s="12"/>
      <c r="F177" s="12"/>
      <c r="G177" s="12"/>
      <c r="H177" s="12"/>
      <c r="I177" s="13"/>
      <c r="J177" s="11"/>
      <c r="K177" s="11"/>
      <c r="L177" s="11"/>
      <c r="M177" s="11"/>
      <c r="N177" s="11"/>
      <c r="O177" s="11"/>
      <c r="P177" s="11"/>
      <c r="Q177" s="11"/>
      <c r="R177" s="11"/>
      <c r="S177" s="13"/>
      <c r="T177" s="13"/>
      <c r="U177" s="13"/>
      <c r="V177" s="13"/>
    </row>
    <row r="178" spans="1:22" x14ac:dyDescent="0.25">
      <c r="A178"/>
      <c r="B178"/>
      <c r="C178" s="14"/>
      <c r="D178" s="12"/>
      <c r="E178" s="12"/>
      <c r="F178" s="12"/>
      <c r="G178" s="12"/>
      <c r="H178" s="12"/>
      <c r="I178" s="13"/>
      <c r="J178" s="11"/>
      <c r="K178" s="11"/>
      <c r="L178" s="11"/>
      <c r="M178" s="11"/>
      <c r="N178" s="11"/>
      <c r="O178" s="11"/>
      <c r="P178" s="11"/>
      <c r="Q178" s="11"/>
      <c r="R178" s="11"/>
      <c r="S178" s="13"/>
      <c r="T178" s="13"/>
      <c r="U178" s="13"/>
      <c r="V178" s="13"/>
    </row>
    <row r="179" spans="1:22" x14ac:dyDescent="0.25">
      <c r="A179"/>
      <c r="B179"/>
      <c r="C179" s="14"/>
      <c r="D179" s="12"/>
      <c r="E179" s="12"/>
      <c r="F179" s="12"/>
      <c r="G179" s="12"/>
      <c r="H179" s="12"/>
      <c r="I179" s="13"/>
      <c r="J179" s="11"/>
      <c r="K179" s="11"/>
      <c r="L179" s="11"/>
      <c r="M179" s="11"/>
      <c r="N179" s="11"/>
      <c r="O179" s="11"/>
      <c r="P179" s="11"/>
      <c r="Q179" s="11"/>
      <c r="R179" s="11"/>
      <c r="S179" s="13"/>
      <c r="T179" s="13"/>
      <c r="U179" s="13"/>
      <c r="V179" s="13"/>
    </row>
    <row r="180" spans="1:22" x14ac:dyDescent="0.25">
      <c r="A180"/>
      <c r="B180"/>
      <c r="C180" s="14"/>
      <c r="D180" s="12"/>
      <c r="E180" s="12"/>
      <c r="F180" s="12"/>
      <c r="G180" s="12"/>
      <c r="H180" s="12"/>
      <c r="I180" s="13"/>
      <c r="J180" s="11"/>
      <c r="K180" s="11"/>
      <c r="L180" s="11"/>
      <c r="M180" s="11"/>
      <c r="N180" s="11"/>
      <c r="O180" s="11"/>
      <c r="P180" s="11"/>
      <c r="Q180" s="11"/>
      <c r="R180" s="11"/>
      <c r="S180" s="13"/>
      <c r="T180" s="13"/>
      <c r="U180" s="13"/>
      <c r="V180" s="13"/>
    </row>
    <row r="181" spans="1:22" x14ac:dyDescent="0.25">
      <c r="A181"/>
      <c r="B181"/>
      <c r="C181" s="14"/>
      <c r="D181" s="12"/>
      <c r="E181" s="12"/>
      <c r="F181" s="12"/>
      <c r="G181" s="12"/>
      <c r="H181" s="12"/>
      <c r="I181" s="13"/>
      <c r="J181" s="11"/>
      <c r="K181" s="11"/>
      <c r="L181" s="11"/>
      <c r="M181" s="11"/>
      <c r="N181" s="11"/>
      <c r="O181" s="11"/>
      <c r="P181" s="11"/>
      <c r="Q181" s="11"/>
      <c r="R181" s="11"/>
      <c r="S181" s="13"/>
      <c r="T181" s="13"/>
      <c r="U181" s="13"/>
      <c r="V181" s="13"/>
    </row>
    <row r="182" spans="1:22" x14ac:dyDescent="0.25">
      <c r="A182"/>
      <c r="B182"/>
      <c r="C182" s="14"/>
      <c r="D182" s="12"/>
      <c r="E182" s="12"/>
      <c r="F182" s="12"/>
      <c r="G182" s="12"/>
      <c r="H182" s="12"/>
      <c r="I182" s="13"/>
      <c r="J182" s="11"/>
      <c r="K182" s="11"/>
      <c r="L182" s="11"/>
      <c r="M182" s="11"/>
      <c r="N182" s="11"/>
      <c r="O182" s="11"/>
      <c r="P182" s="11"/>
      <c r="Q182" s="11"/>
      <c r="R182" s="11"/>
      <c r="S182" s="13"/>
      <c r="T182" s="13"/>
      <c r="U182" s="13"/>
      <c r="V182" s="13"/>
    </row>
    <row r="183" spans="1:22" x14ac:dyDescent="0.25">
      <c r="A183"/>
      <c r="B183"/>
      <c r="C183" s="14"/>
      <c r="D183" s="12"/>
      <c r="E183" s="12"/>
      <c r="F183" s="12"/>
      <c r="G183" s="12"/>
      <c r="H183" s="12"/>
      <c r="I183" s="13"/>
      <c r="J183" s="11"/>
      <c r="K183" s="11"/>
      <c r="L183" s="11"/>
      <c r="M183" s="11"/>
      <c r="N183" s="11"/>
      <c r="O183" s="11"/>
      <c r="P183" s="11"/>
      <c r="Q183" s="11"/>
      <c r="R183" s="11"/>
      <c r="S183" s="13"/>
      <c r="T183" s="13"/>
      <c r="U183" s="13"/>
      <c r="V183" s="13"/>
    </row>
    <row r="184" spans="1:22" x14ac:dyDescent="0.25">
      <c r="A184"/>
      <c r="B184"/>
      <c r="C184" s="14"/>
      <c r="D184" s="12"/>
      <c r="E184" s="12"/>
      <c r="F184" s="12"/>
      <c r="G184" s="12"/>
      <c r="H184" s="12"/>
      <c r="I184" s="13"/>
      <c r="J184" s="11"/>
      <c r="K184" s="11"/>
      <c r="L184" s="11"/>
      <c r="M184" s="11"/>
      <c r="N184" s="11"/>
      <c r="O184" s="11"/>
      <c r="P184" s="11"/>
      <c r="Q184" s="11"/>
      <c r="R184" s="11"/>
      <c r="S184" s="13"/>
      <c r="T184" s="13"/>
      <c r="U184" s="13"/>
      <c r="V184" s="13"/>
    </row>
    <row r="185" spans="1:22" x14ac:dyDescent="0.25">
      <c r="A185"/>
      <c r="B185"/>
      <c r="C185" s="14"/>
      <c r="D185" s="12"/>
      <c r="E185" s="12"/>
      <c r="F185" s="12"/>
      <c r="G185" s="12"/>
      <c r="H185" s="12"/>
      <c r="I185" s="13"/>
      <c r="J185" s="11"/>
      <c r="K185" s="11"/>
      <c r="L185" s="11"/>
      <c r="M185" s="11"/>
      <c r="N185" s="11"/>
      <c r="O185" s="11"/>
      <c r="P185" s="11"/>
      <c r="Q185" s="11"/>
      <c r="R185" s="11"/>
      <c r="S185" s="13"/>
      <c r="T185" s="13"/>
      <c r="U185" s="13"/>
      <c r="V185" s="13"/>
    </row>
    <row r="186" spans="1:22" x14ac:dyDescent="0.25">
      <c r="A186"/>
      <c r="B186"/>
      <c r="C186" s="14"/>
      <c r="D186" s="12"/>
      <c r="E186" s="12"/>
      <c r="F186" s="12"/>
      <c r="G186" s="12"/>
      <c r="H186" s="12"/>
      <c r="I186" s="13"/>
      <c r="J186" s="11"/>
      <c r="K186" s="11"/>
      <c r="L186" s="11"/>
      <c r="M186" s="11"/>
      <c r="N186" s="11"/>
      <c r="O186" s="11"/>
      <c r="P186" s="11"/>
      <c r="Q186" s="11"/>
      <c r="R186" s="11"/>
      <c r="S186" s="13"/>
      <c r="T186" s="13"/>
      <c r="U186" s="13"/>
      <c r="V186" s="13"/>
    </row>
    <row r="187" spans="1:22" x14ac:dyDescent="0.25">
      <c r="A187"/>
      <c r="B187"/>
      <c r="C187" s="14"/>
      <c r="D187" s="12"/>
      <c r="E187" s="12"/>
      <c r="F187" s="12"/>
      <c r="G187" s="12"/>
      <c r="H187" s="12"/>
      <c r="I187" s="13"/>
      <c r="J187" s="11"/>
      <c r="K187" s="11"/>
      <c r="L187" s="11"/>
      <c r="M187" s="11"/>
      <c r="N187" s="11"/>
      <c r="O187" s="11"/>
      <c r="P187" s="11"/>
      <c r="Q187" s="11"/>
      <c r="R187" s="11"/>
      <c r="S187" s="13"/>
      <c r="T187" s="13"/>
      <c r="U187" s="13"/>
      <c r="V187" s="13"/>
    </row>
    <row r="188" spans="1:22" x14ac:dyDescent="0.25">
      <c r="A188"/>
      <c r="B188"/>
      <c r="C188" s="14"/>
      <c r="D188" s="12"/>
      <c r="E188" s="12"/>
      <c r="F188" s="12"/>
      <c r="G188" s="12"/>
      <c r="H188" s="12"/>
      <c r="I188" s="13"/>
      <c r="J188" s="11"/>
      <c r="K188" s="11"/>
      <c r="L188" s="11"/>
      <c r="M188" s="11"/>
      <c r="N188" s="11"/>
      <c r="O188" s="11"/>
      <c r="P188" s="11"/>
      <c r="Q188" s="11"/>
      <c r="R188" s="11"/>
      <c r="S188" s="13"/>
      <c r="T188" s="13"/>
      <c r="U188" s="13"/>
      <c r="V188" s="13"/>
    </row>
    <row r="189" spans="1:22" x14ac:dyDescent="0.25">
      <c r="A189"/>
      <c r="B189"/>
      <c r="C189" s="14"/>
      <c r="D189" s="12"/>
      <c r="E189" s="12"/>
      <c r="F189" s="12"/>
      <c r="G189" s="12"/>
      <c r="H189" s="12"/>
      <c r="I189" s="13"/>
      <c r="J189" s="11"/>
      <c r="K189" s="11"/>
      <c r="L189" s="11"/>
      <c r="M189" s="11"/>
      <c r="N189" s="11"/>
      <c r="O189" s="11"/>
      <c r="P189" s="11"/>
      <c r="Q189" s="11"/>
      <c r="R189" s="11"/>
      <c r="S189" s="13"/>
      <c r="T189" s="13"/>
      <c r="U189" s="13"/>
      <c r="V189" s="13"/>
    </row>
    <row r="190" spans="1:22" x14ac:dyDescent="0.25">
      <c r="A190"/>
      <c r="B190"/>
      <c r="C190" s="14"/>
      <c r="D190" s="12"/>
      <c r="E190" s="12"/>
      <c r="F190" s="12"/>
      <c r="G190" s="12"/>
      <c r="H190" s="12"/>
      <c r="I190" s="13"/>
      <c r="J190" s="11"/>
      <c r="K190" s="11"/>
      <c r="L190" s="11"/>
      <c r="M190" s="11"/>
      <c r="N190" s="11"/>
      <c r="O190" s="11"/>
      <c r="P190" s="11"/>
      <c r="Q190" s="11"/>
      <c r="R190" s="11"/>
      <c r="S190" s="13"/>
      <c r="T190" s="13"/>
      <c r="U190" s="13"/>
      <c r="V190" s="13"/>
    </row>
    <row r="191" spans="1:22" x14ac:dyDescent="0.25">
      <c r="A191"/>
      <c r="B191"/>
      <c r="C191" s="14"/>
      <c r="D191" s="12"/>
      <c r="E191" s="12"/>
      <c r="F191" s="12"/>
      <c r="G191" s="12"/>
      <c r="H191" s="12"/>
      <c r="I191" s="13"/>
      <c r="J191" s="11"/>
      <c r="K191" s="11"/>
      <c r="L191" s="11"/>
      <c r="M191" s="11"/>
      <c r="N191" s="11"/>
      <c r="O191" s="11"/>
      <c r="P191" s="11"/>
      <c r="Q191" s="11"/>
      <c r="R191" s="11"/>
      <c r="S191" s="13"/>
      <c r="T191" s="13"/>
      <c r="U191" s="13"/>
      <c r="V191" s="13"/>
    </row>
    <row r="192" spans="1:22" x14ac:dyDescent="0.25">
      <c r="A192"/>
      <c r="B192"/>
      <c r="C192" s="14"/>
      <c r="D192" s="12"/>
      <c r="E192" s="12"/>
      <c r="F192" s="12"/>
      <c r="G192" s="12"/>
      <c r="H192" s="12"/>
      <c r="I192" s="13"/>
      <c r="J192" s="11"/>
      <c r="K192" s="11"/>
      <c r="L192" s="11"/>
      <c r="M192" s="11"/>
      <c r="N192" s="11"/>
      <c r="O192" s="11"/>
      <c r="P192" s="11"/>
      <c r="Q192" s="11"/>
      <c r="R192" s="11"/>
      <c r="S192" s="13"/>
      <c r="T192" s="13"/>
      <c r="U192" s="13"/>
      <c r="V192" s="13"/>
    </row>
    <row r="193" spans="1:22" x14ac:dyDescent="0.25">
      <c r="A193"/>
      <c r="B193"/>
      <c r="C193" s="14"/>
      <c r="D193" s="12"/>
      <c r="E193" s="12"/>
      <c r="F193" s="12"/>
      <c r="G193" s="12"/>
      <c r="H193" s="12"/>
      <c r="I193" s="13"/>
      <c r="J193" s="11"/>
      <c r="K193" s="11"/>
      <c r="L193" s="11"/>
      <c r="M193" s="11"/>
      <c r="N193" s="11"/>
      <c r="O193" s="11"/>
      <c r="P193" s="11"/>
      <c r="Q193" s="11"/>
      <c r="R193" s="11"/>
      <c r="S193" s="13"/>
      <c r="T193" s="13"/>
      <c r="U193" s="13"/>
      <c r="V193" s="13"/>
    </row>
    <row r="194" spans="1:22" x14ac:dyDescent="0.25">
      <c r="A194"/>
      <c r="B194"/>
      <c r="C194" s="14"/>
      <c r="D194" s="12"/>
      <c r="E194" s="12"/>
      <c r="F194" s="12"/>
      <c r="G194" s="12"/>
      <c r="H194" s="12"/>
      <c r="I194" s="13"/>
      <c r="J194" s="11"/>
      <c r="K194" s="11"/>
      <c r="L194" s="11"/>
      <c r="M194" s="11"/>
      <c r="N194" s="11"/>
      <c r="O194" s="11"/>
      <c r="P194" s="11"/>
      <c r="Q194" s="11"/>
      <c r="R194" s="11"/>
      <c r="S194" s="13"/>
      <c r="T194" s="13"/>
      <c r="U194" s="13"/>
      <c r="V194" s="13"/>
    </row>
    <row r="195" spans="1:22" x14ac:dyDescent="0.25">
      <c r="A195"/>
      <c r="B195"/>
      <c r="C195" s="14"/>
      <c r="D195" s="12"/>
      <c r="E195" s="12"/>
      <c r="F195" s="12"/>
      <c r="G195" s="12"/>
      <c r="H195" s="12"/>
      <c r="I195" s="13"/>
      <c r="J195" s="11"/>
      <c r="K195" s="11"/>
      <c r="L195" s="11"/>
      <c r="M195" s="11"/>
      <c r="N195" s="11"/>
      <c r="O195" s="11"/>
      <c r="P195" s="11"/>
      <c r="Q195" s="11"/>
      <c r="R195" s="11"/>
      <c r="S195" s="13"/>
      <c r="T195" s="13"/>
      <c r="U195" s="13"/>
      <c r="V195" s="13"/>
    </row>
    <row r="196" spans="1:22" x14ac:dyDescent="0.25">
      <c r="A196"/>
      <c r="B196"/>
      <c r="C196" s="14"/>
      <c r="D196" s="12"/>
      <c r="E196" s="12"/>
      <c r="F196" s="12"/>
      <c r="G196" s="12"/>
      <c r="H196" s="12"/>
      <c r="I196" s="13"/>
      <c r="J196" s="11"/>
      <c r="K196" s="11"/>
      <c r="L196" s="11"/>
      <c r="M196" s="11"/>
      <c r="N196" s="11"/>
      <c r="O196" s="11"/>
      <c r="P196" s="11"/>
      <c r="Q196" s="11"/>
      <c r="R196" s="11"/>
      <c r="S196" s="13"/>
      <c r="T196" s="13"/>
      <c r="U196" s="13"/>
      <c r="V196" s="13"/>
    </row>
    <row r="197" spans="1:22" x14ac:dyDescent="0.25">
      <c r="A197"/>
      <c r="B197"/>
      <c r="C197" s="14"/>
      <c r="D197" s="12"/>
      <c r="E197" s="12"/>
      <c r="F197" s="12"/>
      <c r="G197" s="12"/>
      <c r="H197" s="12"/>
      <c r="I197" s="13"/>
      <c r="J197" s="11"/>
      <c r="K197" s="11"/>
      <c r="L197" s="11"/>
      <c r="M197" s="11"/>
      <c r="N197" s="11"/>
      <c r="O197" s="11"/>
      <c r="P197" s="11"/>
      <c r="Q197" s="11"/>
      <c r="R197" s="11"/>
      <c r="S197" s="13"/>
      <c r="T197" s="13"/>
      <c r="U197" s="13"/>
      <c r="V197" s="13"/>
    </row>
    <row r="198" spans="1:22" x14ac:dyDescent="0.25">
      <c r="A198"/>
      <c r="B198"/>
      <c r="C198" s="14"/>
      <c r="D198" s="12"/>
      <c r="E198" s="12"/>
      <c r="F198" s="12"/>
      <c r="G198" s="12"/>
      <c r="H198" s="12"/>
      <c r="I198" s="13"/>
      <c r="J198" s="11"/>
      <c r="K198" s="11"/>
      <c r="L198" s="11"/>
      <c r="M198" s="11"/>
      <c r="N198" s="11"/>
      <c r="O198" s="11"/>
      <c r="P198" s="11"/>
      <c r="Q198" s="11"/>
      <c r="R198" s="11"/>
      <c r="S198" s="13"/>
      <c r="T198" s="13"/>
      <c r="U198" s="13"/>
      <c r="V198" s="13"/>
    </row>
    <row r="199" spans="1:22" x14ac:dyDescent="0.25">
      <c r="A199"/>
      <c r="B199"/>
      <c r="C199" s="14"/>
      <c r="D199" s="12"/>
      <c r="E199" s="12"/>
      <c r="F199" s="12"/>
      <c r="G199" s="12"/>
      <c r="H199" s="12"/>
      <c r="I199" s="13"/>
      <c r="J199" s="11"/>
      <c r="K199" s="11"/>
      <c r="L199" s="11"/>
      <c r="M199" s="11"/>
      <c r="N199" s="11"/>
      <c r="O199" s="11"/>
      <c r="P199" s="11"/>
      <c r="Q199" s="11"/>
      <c r="R199" s="11"/>
      <c r="S199" s="13"/>
      <c r="T199" s="13"/>
      <c r="U199" s="13"/>
      <c r="V199" s="13"/>
    </row>
    <row r="200" spans="1:22" x14ac:dyDescent="0.25">
      <c r="A200"/>
      <c r="B200"/>
      <c r="C200" s="14"/>
      <c r="D200" s="12"/>
      <c r="E200" s="12"/>
      <c r="F200" s="12"/>
      <c r="G200" s="12"/>
      <c r="H200" s="12"/>
      <c r="I200" s="13"/>
      <c r="J200" s="11"/>
      <c r="K200" s="11"/>
      <c r="L200" s="11"/>
      <c r="M200" s="11"/>
      <c r="N200" s="11"/>
      <c r="O200" s="11"/>
      <c r="P200" s="11"/>
      <c r="Q200" s="11"/>
      <c r="R200" s="11"/>
      <c r="S200" s="13"/>
      <c r="T200" s="13"/>
      <c r="U200" s="13"/>
      <c r="V200" s="13"/>
    </row>
    <row r="201" spans="1:22" x14ac:dyDescent="0.25">
      <c r="A201"/>
      <c r="B201"/>
      <c r="C201" s="14"/>
      <c r="D201" s="12"/>
      <c r="E201" s="12"/>
      <c r="F201" s="12"/>
      <c r="G201" s="12"/>
      <c r="H201" s="12"/>
      <c r="I201" s="13"/>
      <c r="J201" s="11"/>
      <c r="K201" s="11"/>
      <c r="L201" s="11"/>
      <c r="M201" s="11"/>
      <c r="N201" s="11"/>
      <c r="O201" s="11"/>
      <c r="P201" s="11"/>
      <c r="Q201" s="11"/>
      <c r="R201" s="11"/>
      <c r="S201" s="13"/>
      <c r="T201" s="13"/>
      <c r="U201" s="13"/>
      <c r="V201" s="13"/>
    </row>
    <row r="202" spans="1:22" x14ac:dyDescent="0.25">
      <c r="A202"/>
      <c r="B202"/>
      <c r="C202" s="14"/>
      <c r="D202" s="12"/>
      <c r="E202" s="12"/>
      <c r="F202" s="12"/>
      <c r="G202" s="12"/>
      <c r="H202" s="12"/>
      <c r="I202" s="13"/>
      <c r="J202" s="11"/>
      <c r="K202" s="11"/>
      <c r="L202" s="11"/>
      <c r="M202" s="11"/>
      <c r="N202" s="11"/>
      <c r="O202" s="11"/>
      <c r="P202" s="11"/>
      <c r="Q202" s="11"/>
      <c r="R202" s="11"/>
      <c r="S202" s="13"/>
      <c r="T202" s="13"/>
      <c r="U202" s="13"/>
      <c r="V202" s="13"/>
    </row>
    <row r="203" spans="1:22" x14ac:dyDescent="0.25">
      <c r="A203"/>
      <c r="B203"/>
      <c r="C203" s="14"/>
      <c r="D203" s="12"/>
      <c r="E203" s="12"/>
      <c r="F203" s="12"/>
      <c r="G203" s="12"/>
      <c r="H203" s="12"/>
      <c r="I203" s="13"/>
      <c r="J203" s="11"/>
      <c r="K203" s="11"/>
      <c r="L203" s="11"/>
      <c r="M203" s="11"/>
      <c r="N203" s="11"/>
      <c r="O203" s="11"/>
      <c r="P203" s="11"/>
      <c r="Q203" s="11"/>
      <c r="R203" s="11"/>
      <c r="S203" s="13"/>
      <c r="T203" s="13"/>
      <c r="U203" s="13"/>
      <c r="V203" s="13"/>
    </row>
    <row r="204" spans="1:22" x14ac:dyDescent="0.25">
      <c r="A204"/>
      <c r="B204"/>
      <c r="C204" s="14"/>
      <c r="D204" s="12"/>
      <c r="E204" s="12"/>
      <c r="F204" s="12"/>
      <c r="G204" s="12"/>
      <c r="H204" s="12"/>
      <c r="I204" s="13"/>
      <c r="J204" s="11"/>
      <c r="K204" s="11"/>
      <c r="L204" s="11"/>
      <c r="M204" s="11"/>
      <c r="N204" s="11"/>
      <c r="O204" s="11"/>
      <c r="P204" s="11"/>
      <c r="Q204" s="11"/>
      <c r="R204" s="11"/>
      <c r="S204" s="13"/>
      <c r="T204" s="13"/>
      <c r="U204" s="13"/>
      <c r="V204" s="13"/>
    </row>
    <row r="205" spans="1:22" x14ac:dyDescent="0.25">
      <c r="A205"/>
      <c r="B205"/>
      <c r="C205" s="14"/>
      <c r="D205" s="12"/>
      <c r="E205" s="12"/>
      <c r="F205" s="12"/>
      <c r="G205" s="12"/>
      <c r="H205" s="12"/>
      <c r="I205" s="13"/>
      <c r="J205" s="11"/>
      <c r="K205" s="11"/>
      <c r="L205" s="11"/>
      <c r="M205" s="11"/>
      <c r="N205" s="11"/>
      <c r="O205" s="11"/>
      <c r="P205" s="11"/>
      <c r="Q205" s="11"/>
      <c r="R205" s="11"/>
      <c r="S205" s="13"/>
      <c r="T205" s="13"/>
      <c r="U205" s="13"/>
      <c r="V205" s="13"/>
    </row>
    <row r="206" spans="1:22" x14ac:dyDescent="0.25">
      <c r="A206"/>
      <c r="B206"/>
      <c r="C206" s="14"/>
      <c r="D206" s="12"/>
      <c r="E206" s="12"/>
      <c r="F206" s="12"/>
      <c r="G206" s="12"/>
      <c r="H206" s="12"/>
      <c r="I206" s="13"/>
      <c r="J206" s="11"/>
      <c r="K206" s="11"/>
      <c r="L206" s="11"/>
      <c r="M206" s="11"/>
      <c r="N206" s="11"/>
      <c r="O206" s="11"/>
      <c r="P206" s="11"/>
      <c r="Q206" s="11"/>
      <c r="R206" s="11"/>
      <c r="S206" s="13"/>
      <c r="T206" s="13"/>
      <c r="U206" s="13"/>
      <c r="V206" s="13"/>
    </row>
    <row r="207" spans="1:22" x14ac:dyDescent="0.25">
      <c r="A207"/>
      <c r="B207"/>
      <c r="C207" s="14"/>
      <c r="D207" s="12"/>
      <c r="E207" s="12"/>
      <c r="F207" s="12"/>
      <c r="G207" s="12"/>
      <c r="H207" s="12"/>
      <c r="I207" s="13"/>
      <c r="J207" s="11"/>
      <c r="K207" s="11"/>
      <c r="L207" s="11"/>
      <c r="M207" s="11"/>
      <c r="N207" s="11"/>
      <c r="O207" s="11"/>
      <c r="P207" s="11"/>
      <c r="Q207" s="11"/>
      <c r="R207" s="11"/>
      <c r="S207" s="13"/>
      <c r="T207" s="13"/>
      <c r="U207" s="13"/>
      <c r="V207" s="13"/>
    </row>
    <row r="208" spans="1:22" x14ac:dyDescent="0.25">
      <c r="A208"/>
      <c r="B208"/>
      <c r="C208" s="14"/>
      <c r="D208" s="12"/>
      <c r="E208" s="12"/>
      <c r="F208" s="12"/>
      <c r="G208" s="12"/>
      <c r="H208" s="12"/>
      <c r="I208" s="13"/>
      <c r="J208" s="11"/>
      <c r="K208" s="11"/>
      <c r="L208" s="11"/>
      <c r="M208" s="11"/>
      <c r="N208" s="11"/>
      <c r="O208" s="11"/>
      <c r="P208" s="11"/>
      <c r="Q208" s="11"/>
      <c r="R208" s="11"/>
      <c r="S208" s="13"/>
      <c r="T208" s="13"/>
      <c r="U208" s="13"/>
      <c r="V208" s="13"/>
    </row>
    <row r="209" spans="1:22" x14ac:dyDescent="0.25">
      <c r="A209"/>
      <c r="B209"/>
      <c r="C209" s="14"/>
      <c r="D209" s="12"/>
      <c r="E209" s="12"/>
      <c r="F209" s="12"/>
      <c r="G209" s="12"/>
      <c r="H209" s="12"/>
      <c r="I209" s="13"/>
      <c r="J209" s="11"/>
      <c r="K209" s="11"/>
      <c r="L209" s="11"/>
      <c r="M209" s="11"/>
      <c r="N209" s="11"/>
      <c r="O209" s="11"/>
      <c r="P209" s="11"/>
      <c r="Q209" s="11"/>
      <c r="R209" s="11"/>
      <c r="S209" s="13"/>
      <c r="T209" s="13"/>
      <c r="U209" s="13"/>
      <c r="V209" s="13"/>
    </row>
    <row r="210" spans="1:22" x14ac:dyDescent="0.25">
      <c r="A210"/>
      <c r="B210"/>
      <c r="C210" s="14"/>
      <c r="D210" s="12"/>
      <c r="E210" s="12"/>
      <c r="F210" s="12"/>
      <c r="G210" s="12"/>
      <c r="H210" s="12"/>
      <c r="I210" s="13"/>
      <c r="J210" s="11"/>
      <c r="K210" s="11"/>
      <c r="L210" s="11"/>
      <c r="M210" s="11"/>
      <c r="N210" s="11"/>
      <c r="O210" s="11"/>
      <c r="P210" s="11"/>
      <c r="Q210" s="11"/>
      <c r="R210" s="11"/>
      <c r="S210" s="13"/>
      <c r="T210" s="13"/>
      <c r="U210" s="13"/>
      <c r="V210" s="13"/>
    </row>
    <row r="211" spans="1:22" x14ac:dyDescent="0.25">
      <c r="A211"/>
      <c r="B211"/>
      <c r="C211" s="14"/>
      <c r="D211" s="12"/>
      <c r="E211" s="12"/>
      <c r="F211" s="12"/>
      <c r="G211" s="12"/>
      <c r="H211" s="12"/>
      <c r="I211" s="13"/>
      <c r="J211" s="11"/>
      <c r="K211" s="11"/>
      <c r="L211" s="11"/>
      <c r="M211" s="11"/>
      <c r="N211" s="11"/>
      <c r="O211" s="11"/>
      <c r="P211" s="11"/>
      <c r="Q211" s="11"/>
      <c r="R211" s="11"/>
      <c r="S211" s="13"/>
      <c r="T211" s="13"/>
      <c r="U211" s="13"/>
      <c r="V211" s="13"/>
    </row>
    <row r="212" spans="1:22" x14ac:dyDescent="0.25">
      <c r="A212"/>
      <c r="B212"/>
      <c r="C212" s="14"/>
      <c r="D212" s="12"/>
      <c r="E212" s="12"/>
      <c r="F212" s="12"/>
      <c r="G212" s="12"/>
      <c r="H212" s="12"/>
      <c r="I212" s="13"/>
      <c r="J212" s="11"/>
      <c r="K212" s="11"/>
      <c r="L212" s="11"/>
      <c r="M212" s="11"/>
      <c r="N212" s="11"/>
      <c r="O212" s="11"/>
      <c r="P212" s="11"/>
      <c r="Q212" s="11"/>
      <c r="R212" s="11"/>
      <c r="S212" s="13"/>
      <c r="T212" s="13"/>
      <c r="U212" s="13"/>
      <c r="V212" s="13"/>
    </row>
    <row r="213" spans="1:22" x14ac:dyDescent="0.25">
      <c r="A213"/>
      <c r="B213"/>
      <c r="C213" s="14"/>
      <c r="D213" s="12"/>
      <c r="E213" s="12"/>
      <c r="F213" s="12"/>
      <c r="G213" s="12"/>
      <c r="H213" s="12"/>
      <c r="I213" s="13"/>
      <c r="J213" s="11"/>
      <c r="K213" s="11"/>
      <c r="L213" s="11"/>
      <c r="M213" s="11"/>
      <c r="N213" s="11"/>
      <c r="O213" s="11"/>
      <c r="P213" s="11"/>
      <c r="Q213" s="11"/>
      <c r="R213" s="11"/>
      <c r="S213" s="13"/>
      <c r="T213" s="13"/>
      <c r="U213" s="13"/>
      <c r="V213" s="13"/>
    </row>
    <row r="214" spans="1:22" x14ac:dyDescent="0.25">
      <c r="A214"/>
      <c r="B214"/>
      <c r="C214" s="14"/>
      <c r="D214" s="12"/>
      <c r="E214" s="12"/>
      <c r="F214" s="12"/>
      <c r="G214" s="12"/>
      <c r="H214" s="12"/>
      <c r="I214" s="13"/>
      <c r="J214" s="11"/>
      <c r="K214" s="11"/>
      <c r="L214" s="11"/>
      <c r="M214" s="11"/>
      <c r="N214" s="11"/>
      <c r="O214" s="11"/>
      <c r="P214" s="11"/>
      <c r="Q214" s="11"/>
      <c r="R214" s="11"/>
      <c r="S214" s="13"/>
      <c r="T214" s="13"/>
      <c r="U214" s="13"/>
      <c r="V214" s="13"/>
    </row>
    <row r="215" spans="1:22" x14ac:dyDescent="0.25">
      <c r="A215"/>
      <c r="B215"/>
      <c r="C215" s="14"/>
      <c r="D215" s="12"/>
      <c r="E215" s="12"/>
      <c r="F215" s="12"/>
      <c r="G215" s="12"/>
      <c r="H215" s="12"/>
      <c r="I215" s="13"/>
      <c r="J215" s="11"/>
      <c r="K215" s="11"/>
      <c r="L215" s="11"/>
      <c r="M215" s="11"/>
      <c r="N215" s="11"/>
      <c r="O215" s="11"/>
      <c r="P215" s="11"/>
      <c r="Q215" s="11"/>
      <c r="R215" s="11"/>
      <c r="S215" s="13"/>
      <c r="T215" s="13"/>
      <c r="U215" s="13"/>
      <c r="V215" s="13"/>
    </row>
    <row r="216" spans="1:22" x14ac:dyDescent="0.25">
      <c r="A216"/>
      <c r="B216"/>
      <c r="C216" s="14"/>
      <c r="D216" s="12"/>
      <c r="E216" s="12"/>
      <c r="F216" s="12"/>
      <c r="G216" s="12"/>
      <c r="H216" s="12"/>
      <c r="I216" s="13"/>
      <c r="J216" s="11"/>
      <c r="K216" s="11"/>
      <c r="L216" s="11"/>
      <c r="M216" s="11"/>
      <c r="N216" s="11"/>
      <c r="O216" s="11"/>
      <c r="P216" s="11"/>
      <c r="Q216" s="11"/>
      <c r="R216" s="11"/>
      <c r="S216" s="13"/>
      <c r="T216" s="13"/>
      <c r="U216" s="13"/>
      <c r="V216" s="13"/>
    </row>
    <row r="217" spans="1:22" x14ac:dyDescent="0.25">
      <c r="A217"/>
      <c r="B217"/>
      <c r="C217" s="14"/>
      <c r="D217" s="12"/>
      <c r="E217" s="12"/>
      <c r="F217" s="12"/>
      <c r="G217" s="12"/>
      <c r="H217" s="12"/>
      <c r="I217" s="13"/>
      <c r="J217" s="11"/>
      <c r="K217" s="11"/>
      <c r="L217" s="11"/>
      <c r="M217" s="11"/>
      <c r="N217" s="11"/>
      <c r="O217" s="11"/>
      <c r="P217" s="11"/>
      <c r="Q217" s="11"/>
      <c r="R217" s="11"/>
      <c r="S217" s="13"/>
      <c r="T217" s="13"/>
      <c r="U217" s="13"/>
      <c r="V217" s="13"/>
    </row>
    <row r="218" spans="1:22" x14ac:dyDescent="0.25">
      <c r="A218"/>
      <c r="B218"/>
      <c r="C218" s="14"/>
      <c r="D218" s="12"/>
      <c r="E218" s="12"/>
      <c r="F218" s="12"/>
      <c r="G218" s="12"/>
      <c r="H218" s="12"/>
      <c r="I218" s="13"/>
      <c r="J218" s="11"/>
      <c r="K218" s="11"/>
      <c r="L218" s="11"/>
      <c r="M218" s="11"/>
      <c r="N218" s="11"/>
      <c r="O218" s="11"/>
      <c r="P218" s="11"/>
      <c r="Q218" s="11"/>
      <c r="R218" s="11"/>
      <c r="S218" s="13"/>
      <c r="T218" s="13"/>
      <c r="U218" s="13"/>
      <c r="V218" s="13"/>
    </row>
    <row r="219" spans="1:22" x14ac:dyDescent="0.25">
      <c r="A219"/>
      <c r="B219"/>
      <c r="C219" s="14"/>
      <c r="D219" s="12"/>
      <c r="E219" s="12"/>
      <c r="F219" s="12"/>
      <c r="G219" s="12"/>
      <c r="H219" s="12"/>
      <c r="I219" s="13"/>
      <c r="J219" s="11"/>
      <c r="K219" s="11"/>
      <c r="L219" s="11"/>
      <c r="M219" s="11"/>
      <c r="N219" s="11"/>
      <c r="O219" s="11"/>
      <c r="P219" s="11"/>
      <c r="Q219" s="11"/>
      <c r="R219" s="11"/>
      <c r="S219" s="13"/>
      <c r="T219" s="13"/>
      <c r="U219" s="13"/>
      <c r="V219" s="13"/>
    </row>
    <row r="220" spans="1:22" x14ac:dyDescent="0.25">
      <c r="A220"/>
      <c r="B220"/>
      <c r="C220" s="14"/>
      <c r="D220" s="12"/>
      <c r="E220" s="12"/>
      <c r="F220" s="12"/>
      <c r="G220" s="12"/>
      <c r="H220" s="12"/>
      <c r="I220" s="13"/>
      <c r="J220" s="11"/>
      <c r="K220" s="11"/>
      <c r="L220" s="11"/>
      <c r="M220" s="11"/>
      <c r="N220" s="11"/>
      <c r="O220" s="11"/>
      <c r="P220" s="11"/>
      <c r="Q220" s="11"/>
      <c r="R220" s="11"/>
      <c r="S220" s="13"/>
      <c r="T220" s="13"/>
      <c r="U220" s="13"/>
      <c r="V220" s="13"/>
    </row>
    <row r="221" spans="1:22" x14ac:dyDescent="0.25">
      <c r="A221"/>
      <c r="B221"/>
      <c r="C221" s="14"/>
      <c r="D221" s="12"/>
      <c r="E221" s="12"/>
      <c r="F221" s="12"/>
      <c r="G221" s="12"/>
      <c r="H221" s="12"/>
      <c r="I221" s="13"/>
      <c r="J221" s="11"/>
      <c r="K221" s="11"/>
      <c r="L221" s="11"/>
      <c r="M221" s="11"/>
      <c r="N221" s="11"/>
      <c r="O221" s="11"/>
      <c r="P221" s="11"/>
      <c r="Q221" s="11"/>
      <c r="R221" s="11"/>
      <c r="S221" s="13"/>
      <c r="T221" s="13"/>
      <c r="U221" s="13"/>
      <c r="V221" s="13"/>
    </row>
    <row r="222" spans="1:22" x14ac:dyDescent="0.25">
      <c r="A222"/>
      <c r="B222"/>
      <c r="C222" s="14"/>
      <c r="D222" s="12"/>
      <c r="E222" s="12"/>
      <c r="F222" s="12"/>
      <c r="G222" s="12"/>
      <c r="H222" s="12"/>
      <c r="I222" s="13"/>
      <c r="J222" s="11"/>
      <c r="K222" s="11"/>
      <c r="L222" s="11"/>
      <c r="M222" s="11"/>
      <c r="N222" s="11"/>
      <c r="O222" s="11"/>
      <c r="P222" s="11"/>
      <c r="Q222" s="11"/>
      <c r="R222" s="11"/>
      <c r="S222" s="13"/>
      <c r="T222" s="13"/>
      <c r="U222" s="13"/>
      <c r="V222" s="13"/>
    </row>
    <row r="223" spans="1:22" x14ac:dyDescent="0.25">
      <c r="A223"/>
      <c r="B223"/>
      <c r="C223" s="14"/>
      <c r="D223" s="12"/>
      <c r="E223" s="12"/>
      <c r="F223" s="12"/>
      <c r="G223" s="12"/>
      <c r="H223" s="12"/>
      <c r="I223" s="13"/>
      <c r="J223" s="11"/>
      <c r="K223" s="11"/>
      <c r="L223" s="11"/>
      <c r="M223" s="11"/>
      <c r="N223" s="11"/>
      <c r="O223" s="11"/>
      <c r="P223" s="11"/>
      <c r="Q223" s="11"/>
      <c r="R223" s="11"/>
      <c r="S223" s="13"/>
      <c r="T223" s="13"/>
      <c r="U223" s="13"/>
      <c r="V223" s="13"/>
    </row>
    <row r="224" spans="1:22" x14ac:dyDescent="0.25">
      <c r="A224"/>
      <c r="B224"/>
      <c r="C224" s="14"/>
      <c r="D224" s="12"/>
      <c r="E224" s="12"/>
      <c r="F224" s="12"/>
      <c r="G224" s="12"/>
      <c r="H224" s="12"/>
      <c r="I224" s="13"/>
      <c r="J224" s="11"/>
      <c r="K224" s="11"/>
      <c r="L224" s="11"/>
      <c r="M224" s="11"/>
      <c r="N224" s="11"/>
      <c r="O224" s="11"/>
      <c r="P224" s="11"/>
      <c r="Q224" s="11"/>
      <c r="R224" s="11"/>
      <c r="S224" s="13"/>
      <c r="T224" s="13"/>
      <c r="U224" s="13"/>
      <c r="V224" s="13"/>
    </row>
    <row r="225" spans="1:22" x14ac:dyDescent="0.25">
      <c r="A225"/>
      <c r="B225"/>
      <c r="C225" s="14"/>
      <c r="D225" s="12"/>
      <c r="E225" s="12"/>
      <c r="F225" s="12"/>
      <c r="G225" s="12"/>
      <c r="H225" s="12"/>
      <c r="I225" s="13"/>
      <c r="J225" s="11"/>
      <c r="K225" s="11"/>
      <c r="L225" s="11"/>
      <c r="M225" s="11"/>
      <c r="N225" s="11"/>
      <c r="O225" s="11"/>
      <c r="P225" s="11"/>
      <c r="Q225" s="11"/>
      <c r="R225" s="11"/>
      <c r="S225" s="13"/>
      <c r="T225" s="13"/>
      <c r="U225" s="13"/>
      <c r="V225" s="13"/>
    </row>
    <row r="226" spans="1:22" x14ac:dyDescent="0.25">
      <c r="A226"/>
      <c r="B226"/>
      <c r="C226" s="14"/>
      <c r="D226" s="12"/>
      <c r="E226" s="12"/>
      <c r="F226" s="12"/>
      <c r="G226" s="12"/>
      <c r="H226" s="12"/>
      <c r="I226" s="13"/>
      <c r="J226" s="11"/>
      <c r="K226" s="11"/>
      <c r="L226" s="11"/>
      <c r="M226" s="11"/>
      <c r="N226" s="11"/>
      <c r="O226" s="11"/>
      <c r="P226" s="11"/>
      <c r="Q226" s="11"/>
      <c r="R226" s="11"/>
      <c r="S226" s="13"/>
      <c r="T226" s="13"/>
      <c r="U226" s="13"/>
      <c r="V226" s="13"/>
    </row>
    <row r="227" spans="1:22" x14ac:dyDescent="0.25">
      <c r="A227"/>
      <c r="B227"/>
      <c r="C227" s="14"/>
      <c r="D227" s="12"/>
      <c r="E227" s="12"/>
      <c r="F227" s="12"/>
      <c r="G227" s="12"/>
      <c r="H227" s="12"/>
      <c r="I227" s="13"/>
      <c r="J227" s="11"/>
      <c r="K227" s="11"/>
      <c r="L227" s="11"/>
      <c r="M227" s="11"/>
      <c r="N227" s="11"/>
      <c r="O227" s="11"/>
      <c r="P227" s="11"/>
      <c r="Q227" s="11"/>
      <c r="R227" s="11"/>
      <c r="S227" s="13"/>
      <c r="T227" s="13"/>
      <c r="U227" s="13"/>
      <c r="V227" s="13"/>
    </row>
    <row r="228" spans="1:22" x14ac:dyDescent="0.25">
      <c r="A228"/>
      <c r="B228"/>
      <c r="C228" s="14"/>
      <c r="D228" s="12"/>
      <c r="E228" s="12"/>
      <c r="F228" s="12"/>
      <c r="G228" s="12"/>
      <c r="H228" s="12"/>
      <c r="I228" s="13"/>
      <c r="J228" s="11"/>
      <c r="K228" s="11"/>
      <c r="L228" s="11"/>
      <c r="M228" s="11"/>
      <c r="N228" s="11"/>
      <c r="O228" s="11"/>
      <c r="P228" s="11"/>
      <c r="Q228" s="11"/>
      <c r="R228" s="11"/>
      <c r="S228" s="13"/>
      <c r="T228" s="13"/>
      <c r="U228" s="13"/>
      <c r="V228" s="13"/>
    </row>
    <row r="229" spans="1:22" x14ac:dyDescent="0.25">
      <c r="A229"/>
      <c r="B229"/>
      <c r="C229" s="14"/>
      <c r="D229" s="12"/>
      <c r="E229" s="12"/>
      <c r="F229" s="12"/>
      <c r="G229" s="12"/>
      <c r="H229" s="12"/>
      <c r="I229" s="13"/>
      <c r="J229" s="11"/>
      <c r="K229" s="11"/>
      <c r="L229" s="11"/>
      <c r="M229" s="11"/>
      <c r="N229" s="11"/>
      <c r="O229" s="11"/>
      <c r="P229" s="11"/>
      <c r="Q229" s="11"/>
      <c r="R229" s="11"/>
      <c r="S229" s="13"/>
      <c r="T229" s="13"/>
      <c r="U229" s="13"/>
      <c r="V229" s="13"/>
    </row>
    <row r="230" spans="1:22" x14ac:dyDescent="0.25">
      <c r="A230"/>
      <c r="B230"/>
      <c r="C230" s="14"/>
      <c r="D230" s="12"/>
      <c r="E230" s="12"/>
      <c r="F230" s="12"/>
      <c r="G230" s="12"/>
      <c r="H230" s="12"/>
      <c r="I230" s="13"/>
      <c r="J230" s="11"/>
      <c r="K230" s="11"/>
      <c r="L230" s="11"/>
      <c r="M230" s="11"/>
      <c r="N230" s="11"/>
      <c r="O230" s="11"/>
      <c r="P230" s="11"/>
      <c r="Q230" s="11"/>
      <c r="R230" s="11"/>
      <c r="S230" s="13"/>
      <c r="T230" s="13"/>
      <c r="U230" s="13"/>
      <c r="V230" s="13"/>
    </row>
    <row r="231" spans="1:22" x14ac:dyDescent="0.25">
      <c r="A231"/>
      <c r="B231"/>
      <c r="C231" s="14"/>
      <c r="D231" s="12"/>
      <c r="E231" s="12"/>
      <c r="F231" s="12"/>
      <c r="G231" s="12"/>
      <c r="H231" s="12"/>
      <c r="I231" s="13"/>
      <c r="J231" s="11"/>
      <c r="K231" s="11"/>
      <c r="L231" s="11"/>
      <c r="M231" s="11"/>
      <c r="N231" s="11"/>
      <c r="O231" s="11"/>
      <c r="P231" s="11"/>
      <c r="Q231" s="11"/>
      <c r="R231" s="11"/>
      <c r="S231" s="13"/>
      <c r="T231" s="13"/>
      <c r="U231" s="13"/>
      <c r="V231" s="13"/>
    </row>
    <row r="232" spans="1:22" x14ac:dyDescent="0.25">
      <c r="A232"/>
      <c r="B232"/>
      <c r="C232" s="14"/>
      <c r="D232" s="12"/>
      <c r="E232" s="12"/>
      <c r="F232" s="12"/>
      <c r="G232" s="12"/>
      <c r="H232" s="12"/>
      <c r="I232" s="13"/>
      <c r="J232" s="11"/>
      <c r="K232" s="11"/>
      <c r="L232" s="11"/>
      <c r="M232" s="11"/>
      <c r="N232" s="11"/>
      <c r="O232" s="11"/>
      <c r="P232" s="11"/>
      <c r="Q232" s="11"/>
      <c r="R232" s="11"/>
      <c r="S232" s="13"/>
      <c r="T232" s="13"/>
      <c r="U232" s="13"/>
      <c r="V232" s="13"/>
    </row>
    <row r="233" spans="1:22" x14ac:dyDescent="0.25">
      <c r="A233"/>
      <c r="B233"/>
      <c r="C233" s="14"/>
      <c r="D233" s="12"/>
      <c r="E233" s="12"/>
      <c r="F233" s="12"/>
      <c r="G233" s="12"/>
      <c r="H233" s="12"/>
      <c r="I233" s="13"/>
      <c r="J233" s="11"/>
      <c r="K233" s="11"/>
      <c r="L233" s="11"/>
      <c r="M233" s="11"/>
      <c r="N233" s="11"/>
      <c r="O233" s="11"/>
      <c r="P233" s="11"/>
      <c r="Q233" s="11"/>
      <c r="R233" s="11"/>
      <c r="S233" s="13"/>
      <c r="T233" s="13"/>
      <c r="U233" s="13"/>
      <c r="V233" s="13"/>
    </row>
    <row r="234" spans="1:22" x14ac:dyDescent="0.25">
      <c r="A234"/>
      <c r="B234"/>
      <c r="C234" s="14"/>
      <c r="D234" s="12"/>
      <c r="E234" s="12"/>
      <c r="F234" s="12"/>
      <c r="G234" s="12"/>
      <c r="H234" s="12"/>
      <c r="I234" s="13"/>
      <c r="J234" s="11"/>
      <c r="K234" s="11"/>
      <c r="L234" s="11"/>
      <c r="M234" s="11"/>
      <c r="N234" s="11"/>
      <c r="O234" s="11"/>
      <c r="P234" s="11"/>
      <c r="Q234" s="11"/>
      <c r="R234" s="11"/>
      <c r="S234" s="13"/>
      <c r="T234" s="13"/>
      <c r="U234" s="13"/>
      <c r="V234" s="13"/>
    </row>
    <row r="235" spans="1:22" x14ac:dyDescent="0.25">
      <c r="A235"/>
      <c r="B235"/>
      <c r="C235" s="14"/>
      <c r="D235" s="12"/>
      <c r="E235" s="12"/>
      <c r="F235" s="12"/>
      <c r="G235" s="12"/>
      <c r="H235" s="12"/>
      <c r="I235" s="13"/>
      <c r="J235" s="11"/>
      <c r="K235" s="11"/>
      <c r="L235" s="11"/>
      <c r="M235" s="11"/>
      <c r="N235" s="11"/>
      <c r="O235" s="11"/>
      <c r="P235" s="11"/>
      <c r="Q235" s="11"/>
      <c r="R235" s="11"/>
      <c r="S235" s="13"/>
      <c r="T235" s="13"/>
      <c r="U235" s="13"/>
      <c r="V235" s="13"/>
    </row>
    <row r="236" spans="1:22" x14ac:dyDescent="0.25">
      <c r="A236"/>
      <c r="B236"/>
      <c r="C236" s="14"/>
      <c r="D236" s="12"/>
      <c r="E236" s="12"/>
      <c r="F236" s="12"/>
      <c r="G236" s="12"/>
      <c r="H236" s="12"/>
      <c r="I236" s="13"/>
      <c r="J236" s="11"/>
      <c r="K236" s="11"/>
      <c r="L236" s="11"/>
      <c r="M236" s="11"/>
      <c r="N236" s="11"/>
      <c r="O236" s="11"/>
      <c r="P236" s="11"/>
      <c r="Q236" s="11"/>
      <c r="R236" s="11"/>
      <c r="S236" s="13"/>
      <c r="T236" s="13"/>
      <c r="U236" s="13"/>
      <c r="V236" s="13"/>
    </row>
    <row r="237" spans="1:22" x14ac:dyDescent="0.25">
      <c r="A237"/>
      <c r="B237"/>
      <c r="C237" s="14"/>
      <c r="D237" s="12"/>
      <c r="E237" s="12"/>
      <c r="F237" s="12"/>
      <c r="G237" s="12"/>
      <c r="H237" s="12"/>
      <c r="I237" s="13"/>
      <c r="J237" s="11"/>
      <c r="K237" s="11"/>
      <c r="L237" s="11"/>
      <c r="M237" s="11"/>
      <c r="N237" s="11"/>
      <c r="O237" s="11"/>
      <c r="P237" s="11"/>
      <c r="Q237" s="11"/>
      <c r="R237" s="11"/>
      <c r="S237" s="13"/>
      <c r="T237" s="13"/>
      <c r="U237" s="13"/>
      <c r="V237" s="13"/>
    </row>
    <row r="238" spans="1:22" x14ac:dyDescent="0.25">
      <c r="A238"/>
      <c r="B238"/>
      <c r="C238" s="14"/>
      <c r="D238" s="12"/>
      <c r="E238" s="12"/>
      <c r="F238" s="12"/>
      <c r="G238" s="12"/>
      <c r="H238" s="12"/>
      <c r="I238" s="13"/>
      <c r="J238" s="11"/>
      <c r="K238" s="11"/>
      <c r="L238" s="11"/>
      <c r="M238" s="11"/>
      <c r="N238" s="11"/>
      <c r="O238" s="11"/>
      <c r="P238" s="11"/>
      <c r="Q238" s="11"/>
      <c r="R238" s="11"/>
      <c r="S238" s="13"/>
      <c r="T238" s="13"/>
      <c r="U238" s="13"/>
      <c r="V238" s="13"/>
    </row>
    <row r="239" spans="1:22" x14ac:dyDescent="0.25">
      <c r="A239"/>
      <c r="B239"/>
      <c r="C239" s="14"/>
      <c r="D239" s="12"/>
      <c r="E239" s="12"/>
      <c r="F239" s="12"/>
      <c r="G239" s="12"/>
      <c r="H239" s="12"/>
      <c r="I239" s="13"/>
      <c r="J239" s="11"/>
      <c r="K239" s="11"/>
      <c r="L239" s="11"/>
      <c r="M239" s="11"/>
      <c r="N239" s="11"/>
      <c r="O239" s="11"/>
      <c r="P239" s="11"/>
      <c r="Q239" s="11"/>
      <c r="R239" s="11"/>
      <c r="S239" s="13"/>
      <c r="T239" s="13"/>
      <c r="U239" s="13"/>
      <c r="V239" s="13"/>
    </row>
    <row r="240" spans="1:22" x14ac:dyDescent="0.25">
      <c r="A240"/>
      <c r="B240"/>
      <c r="C240" s="14"/>
      <c r="D240" s="12"/>
      <c r="E240" s="12"/>
      <c r="F240" s="12"/>
      <c r="G240" s="12"/>
      <c r="H240" s="12"/>
      <c r="I240" s="13"/>
      <c r="J240" s="11"/>
      <c r="K240" s="11"/>
      <c r="L240" s="11"/>
      <c r="M240" s="11"/>
      <c r="N240" s="11"/>
      <c r="O240" s="11"/>
      <c r="P240" s="11"/>
      <c r="Q240" s="11"/>
      <c r="R240" s="11"/>
      <c r="S240" s="13"/>
      <c r="T240" s="13"/>
      <c r="U240" s="13"/>
      <c r="V240" s="13"/>
    </row>
    <row r="241" spans="1:22" x14ac:dyDescent="0.25">
      <c r="A241"/>
      <c r="B241"/>
      <c r="C241" s="14"/>
      <c r="D241" s="12"/>
      <c r="E241" s="12"/>
      <c r="F241" s="12"/>
      <c r="G241" s="12"/>
      <c r="H241" s="12"/>
      <c r="I241" s="13"/>
      <c r="J241" s="11"/>
      <c r="K241" s="11"/>
      <c r="L241" s="11"/>
      <c r="M241" s="11"/>
      <c r="N241" s="11"/>
      <c r="O241" s="11"/>
      <c r="P241" s="11"/>
      <c r="Q241" s="11"/>
      <c r="R241" s="11"/>
      <c r="S241" s="13"/>
      <c r="T241" s="13"/>
      <c r="U241" s="13"/>
      <c r="V241" s="13"/>
    </row>
    <row r="242" spans="1:22" x14ac:dyDescent="0.25">
      <c r="A242"/>
      <c r="B242"/>
      <c r="C242" s="14"/>
      <c r="D242" s="12"/>
      <c r="E242" s="12"/>
      <c r="F242" s="12"/>
      <c r="G242" s="12"/>
      <c r="H242" s="12"/>
      <c r="I242" s="13"/>
      <c r="J242" s="11"/>
      <c r="K242" s="11"/>
      <c r="L242" s="11"/>
      <c r="M242" s="11"/>
      <c r="N242" s="11"/>
      <c r="O242" s="11"/>
      <c r="P242" s="11"/>
      <c r="Q242" s="11"/>
      <c r="R242" s="11"/>
      <c r="S242" s="13"/>
      <c r="T242" s="13"/>
      <c r="U242" s="13"/>
      <c r="V242" s="13"/>
    </row>
    <row r="243" spans="1:22" x14ac:dyDescent="0.25">
      <c r="A243"/>
      <c r="B243"/>
      <c r="C243" s="14"/>
      <c r="D243" s="12"/>
      <c r="E243" s="12"/>
      <c r="F243" s="12"/>
      <c r="G243" s="12"/>
      <c r="H243" s="12"/>
      <c r="I243" s="13"/>
      <c r="J243" s="11"/>
      <c r="K243" s="11"/>
      <c r="L243" s="11"/>
      <c r="M243" s="11"/>
      <c r="N243" s="11"/>
      <c r="O243" s="11"/>
      <c r="P243" s="11"/>
      <c r="Q243" s="11"/>
      <c r="R243" s="11"/>
      <c r="S243" s="13"/>
      <c r="T243" s="13"/>
      <c r="U243" s="13"/>
      <c r="V243" s="13"/>
    </row>
    <row r="244" spans="1:22" x14ac:dyDescent="0.25">
      <c r="A244"/>
      <c r="B244"/>
      <c r="C244" s="14"/>
      <c r="D244" s="12"/>
      <c r="E244" s="12"/>
      <c r="F244" s="12"/>
      <c r="G244" s="12"/>
      <c r="H244" s="12"/>
      <c r="I244" s="13"/>
      <c r="J244" s="11"/>
      <c r="K244" s="11"/>
      <c r="L244" s="11"/>
      <c r="M244" s="11"/>
      <c r="N244" s="11"/>
      <c r="O244" s="11"/>
      <c r="P244" s="11"/>
      <c r="Q244" s="11"/>
      <c r="R244" s="11"/>
      <c r="S244" s="13"/>
      <c r="T244" s="13"/>
      <c r="U244" s="13"/>
      <c r="V244" s="13"/>
    </row>
    <row r="245" spans="1:22" x14ac:dyDescent="0.25">
      <c r="A245"/>
      <c r="B245"/>
      <c r="C245" s="14"/>
      <c r="D245" s="12"/>
      <c r="E245" s="12"/>
      <c r="F245" s="12"/>
      <c r="G245" s="12"/>
      <c r="H245" s="12"/>
      <c r="I245" s="13"/>
      <c r="J245" s="11"/>
      <c r="K245" s="11"/>
      <c r="L245" s="11"/>
      <c r="M245" s="11"/>
      <c r="N245" s="11"/>
      <c r="O245" s="11"/>
      <c r="P245" s="11"/>
      <c r="Q245" s="11"/>
      <c r="R245" s="11"/>
      <c r="S245" s="13"/>
      <c r="T245" s="13"/>
      <c r="U245" s="13"/>
      <c r="V245" s="13"/>
    </row>
    <row r="246" spans="1:22" x14ac:dyDescent="0.25">
      <c r="A246"/>
      <c r="B246"/>
      <c r="C246" s="14"/>
      <c r="D246" s="12"/>
      <c r="E246" s="12"/>
      <c r="F246" s="12"/>
      <c r="G246" s="12"/>
      <c r="H246" s="12"/>
      <c r="I246" s="13"/>
      <c r="J246" s="11"/>
      <c r="K246" s="11"/>
      <c r="L246" s="11"/>
      <c r="M246" s="11"/>
      <c r="N246" s="11"/>
      <c r="O246" s="11"/>
      <c r="P246" s="11"/>
      <c r="Q246" s="11"/>
      <c r="R246" s="11"/>
      <c r="S246" s="13"/>
      <c r="T246" s="13"/>
      <c r="U246" s="13"/>
      <c r="V246" s="13"/>
    </row>
    <row r="247" spans="1:22" x14ac:dyDescent="0.25">
      <c r="A247"/>
      <c r="B247"/>
      <c r="C247" s="14"/>
      <c r="D247" s="12"/>
      <c r="E247" s="12"/>
      <c r="F247" s="12"/>
      <c r="G247" s="12"/>
      <c r="H247" s="12"/>
      <c r="I247" s="13"/>
      <c r="J247" s="11"/>
      <c r="K247" s="11"/>
      <c r="L247" s="11"/>
      <c r="M247" s="11"/>
      <c r="N247" s="11"/>
      <c r="O247" s="11"/>
      <c r="P247" s="11"/>
      <c r="Q247" s="11"/>
      <c r="R247" s="11"/>
      <c r="S247" s="13"/>
      <c r="T247" s="13"/>
      <c r="U247" s="13"/>
      <c r="V247" s="13"/>
    </row>
    <row r="248" spans="1:22" x14ac:dyDescent="0.25">
      <c r="A248"/>
      <c r="B248"/>
      <c r="C248" s="14"/>
      <c r="D248" s="12"/>
      <c r="E248" s="12"/>
      <c r="F248" s="12"/>
      <c r="G248" s="12"/>
      <c r="H248" s="12"/>
      <c r="I248" s="13"/>
      <c r="J248" s="11"/>
      <c r="K248" s="11"/>
      <c r="L248" s="11"/>
      <c r="M248" s="11"/>
      <c r="N248" s="11"/>
      <c r="O248" s="11"/>
      <c r="P248" s="11"/>
      <c r="Q248" s="11"/>
      <c r="R248" s="11"/>
      <c r="S248" s="13"/>
      <c r="T248" s="13"/>
      <c r="U248" s="13"/>
      <c r="V248" s="13"/>
    </row>
    <row r="249" spans="1:22" x14ac:dyDescent="0.25">
      <c r="A249"/>
      <c r="B249"/>
      <c r="C249" s="14"/>
      <c r="D249" s="12"/>
      <c r="E249" s="12"/>
      <c r="F249" s="12"/>
      <c r="G249" s="12"/>
      <c r="H249" s="12"/>
      <c r="I249" s="13"/>
      <c r="J249" s="11"/>
      <c r="K249" s="11"/>
      <c r="L249" s="11"/>
      <c r="M249" s="11"/>
      <c r="N249" s="11"/>
      <c r="O249" s="11"/>
      <c r="P249" s="11"/>
      <c r="Q249" s="11"/>
      <c r="R249" s="11"/>
      <c r="S249" s="13"/>
      <c r="T249" s="13"/>
      <c r="U249" s="13"/>
      <c r="V249" s="13"/>
    </row>
    <row r="250" spans="1:22" x14ac:dyDescent="0.25">
      <c r="A250"/>
      <c r="B250"/>
      <c r="C250" s="14"/>
      <c r="D250" s="12"/>
      <c r="E250" s="12"/>
      <c r="F250" s="12"/>
      <c r="G250" s="12"/>
      <c r="H250" s="12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</sheetData>
  <autoFilter ref="A1:A250" xr:uid="{00000000-0001-0000-0200-000000000000}"/>
  <mergeCells count="23">
    <mergeCell ref="A6:V6"/>
    <mergeCell ref="A7:V7"/>
    <mergeCell ref="A8:A12"/>
    <mergeCell ref="C8:C12"/>
    <mergeCell ref="D8:H9"/>
    <mergeCell ref="I8:I12"/>
    <mergeCell ref="J8:L9"/>
    <mergeCell ref="M8:O9"/>
    <mergeCell ref="P8:R9"/>
    <mergeCell ref="S8:T9"/>
    <mergeCell ref="U8:U12"/>
    <mergeCell ref="V8:V12"/>
    <mergeCell ref="J10:J12"/>
    <mergeCell ref="K10:K12"/>
    <mergeCell ref="L10:L12"/>
    <mergeCell ref="M10:M12"/>
    <mergeCell ref="S10:S12"/>
    <mergeCell ref="T10:T12"/>
    <mergeCell ref="N10:N12"/>
    <mergeCell ref="O10:O12"/>
    <mergeCell ref="P10:P12"/>
    <mergeCell ref="Q10:Q12"/>
    <mergeCell ref="R10:R12"/>
  </mergeCells>
  <pageMargins left="0.01" right="0.01" top="0.80000000000000016" bottom="0.40000000000000008" header="0.5" footer="0.5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2</vt:lpstr>
      <vt:lpstr>1</vt:lpstr>
      <vt:lpstr>3</vt:lpstr>
      <vt:lpstr>'1'!Заголовки_для_печати</vt:lpstr>
      <vt:lpstr>'2'!Заголовки_для_печати</vt:lpstr>
      <vt:lpstr>'3'!Заголовки_для_печати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D_Ismailov</dc:creator>
  <cp:lastModifiedBy>Елена Малюхина</cp:lastModifiedBy>
  <dcterms:created xsi:type="dcterms:W3CDTF">2024-03-05T07:35:00Z</dcterms:created>
  <dcterms:modified xsi:type="dcterms:W3CDTF">2024-03-06T12:15:57Z</dcterms:modified>
</cp:coreProperties>
</file>