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elena\OneDrive\Рабочий стол\вниигаз\войти в айти\данные для кейсов\2 вариант\"/>
    </mc:Choice>
  </mc:AlternateContent>
  <xr:revisionPtr revIDLastSave="0" documentId="13_ncr:1_{13695EB8-1F74-4602-B804-21AEEFBD2EBB}" xr6:coauthVersionLast="47" xr6:coauthVersionMax="47" xr10:uidLastSave="{00000000-0000-0000-0000-000000000000}"/>
  <bookViews>
    <workbookView xWindow="-108" yWindow="-108" windowWidth="23256" windowHeight="12456" tabRatio="963" firstSheet="1" activeTab="3" xr2:uid="{00000000-000D-0000-FFFF-FFFF00000000}"/>
  </bookViews>
  <sheets>
    <sheet name="УКПГ1АС" sheetId="22" r:id="rId1"/>
    <sheet name="УКПГ1" sheetId="2" r:id="rId2"/>
    <sheet name="УКПГ2" sheetId="3" r:id="rId3"/>
    <sheet name="УКПГ3" sheetId="5" r:id="rId4"/>
  </sheets>
  <definedNames>
    <definedName name="_xlnm._FilterDatabase" localSheetId="1" hidden="1">УКПГ1!#REF!</definedName>
    <definedName name="_xlnm.Print_Titles" localSheetId="1">УКПГ1!$1:$7</definedName>
    <definedName name="_xlnm.Print_Titles" localSheetId="0">УКПГ1АС!$2:$8</definedName>
    <definedName name="_xlnm.Print_Titles" localSheetId="2">УКПГ2!$1:$7</definedName>
    <definedName name="_xlnm.Print_Titles" localSheetId="3">УКПГ3!$1:$7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4" i="3" l="1"/>
  <c r="B63" i="3"/>
  <c r="B62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T64" i="3"/>
  <c r="S64" i="3"/>
  <c r="R64" i="3"/>
  <c r="Q64" i="3"/>
  <c r="T63" i="3"/>
  <c r="S63" i="3"/>
  <c r="R63" i="3"/>
  <c r="Q63" i="3"/>
  <c r="T62" i="3"/>
  <c r="S62" i="3"/>
  <c r="R62" i="3"/>
  <c r="Q62" i="3"/>
  <c r="T61" i="3"/>
  <c r="S61" i="3"/>
  <c r="R61" i="3"/>
  <c r="Q61" i="3"/>
  <c r="T60" i="3"/>
  <c r="S60" i="3"/>
  <c r="R60" i="3"/>
  <c r="Q60" i="3"/>
  <c r="T59" i="3"/>
  <c r="S59" i="3"/>
  <c r="R59" i="3"/>
  <c r="Q59" i="3"/>
  <c r="T58" i="3"/>
  <c r="S58" i="3"/>
  <c r="R58" i="3"/>
  <c r="Q58" i="3"/>
  <c r="T57" i="3"/>
  <c r="S57" i="3"/>
  <c r="R57" i="3"/>
  <c r="Q57" i="3"/>
  <c r="T56" i="3"/>
  <c r="S56" i="3"/>
  <c r="R56" i="3"/>
  <c r="Q56" i="3"/>
  <c r="T55" i="3"/>
  <c r="S55" i="3"/>
  <c r="R55" i="3"/>
  <c r="Q55" i="3"/>
  <c r="T54" i="3"/>
  <c r="S54" i="3"/>
  <c r="R54" i="3"/>
  <c r="Q54" i="3"/>
  <c r="T53" i="3"/>
  <c r="S53" i="3"/>
  <c r="R53" i="3"/>
  <c r="Q53" i="3"/>
  <c r="T52" i="3"/>
  <c r="S52" i="3"/>
  <c r="R52" i="3"/>
  <c r="Q52" i="3"/>
  <c r="T51" i="3"/>
  <c r="S51" i="3"/>
  <c r="R51" i="3"/>
  <c r="Q51" i="3"/>
  <c r="T50" i="3"/>
  <c r="S50" i="3"/>
  <c r="R50" i="3"/>
  <c r="Q50" i="3"/>
  <c r="T49" i="3"/>
  <c r="S49" i="3"/>
  <c r="R49" i="3"/>
  <c r="Q49" i="3"/>
  <c r="T48" i="3"/>
  <c r="S48" i="3"/>
  <c r="R48" i="3"/>
  <c r="Q48" i="3"/>
  <c r="T47" i="3"/>
  <c r="S47" i="3"/>
  <c r="R47" i="3"/>
  <c r="Q47" i="3"/>
  <c r="T46" i="3"/>
  <c r="S46" i="3"/>
  <c r="R46" i="3"/>
  <c r="Q46" i="3"/>
  <c r="T45" i="3"/>
  <c r="S45" i="3"/>
  <c r="R45" i="3"/>
  <c r="Q45" i="3"/>
  <c r="T44" i="3"/>
  <c r="S44" i="3"/>
  <c r="R44" i="3"/>
  <c r="Q44" i="3"/>
  <c r="T43" i="3"/>
  <c r="S43" i="3"/>
  <c r="R43" i="3"/>
  <c r="Q43" i="3"/>
  <c r="T42" i="3"/>
  <c r="S42" i="3"/>
  <c r="R42" i="3"/>
  <c r="Q42" i="3"/>
  <c r="T41" i="3"/>
  <c r="S41" i="3"/>
  <c r="R41" i="3"/>
  <c r="Q41" i="3"/>
  <c r="T40" i="3"/>
  <c r="S40" i="3"/>
  <c r="R40" i="3"/>
  <c r="Q40" i="3"/>
  <c r="T39" i="3"/>
  <c r="S39" i="3"/>
  <c r="R39" i="3"/>
  <c r="Q39" i="3"/>
  <c r="T38" i="3"/>
  <c r="S38" i="3"/>
  <c r="R38" i="3"/>
  <c r="Q38" i="3"/>
  <c r="T37" i="3"/>
  <c r="S37" i="3"/>
  <c r="R37" i="3"/>
  <c r="Q37" i="3"/>
  <c r="T36" i="3"/>
  <c r="S36" i="3"/>
  <c r="R36" i="3"/>
  <c r="Q36" i="3"/>
  <c r="T35" i="3"/>
  <c r="S35" i="3"/>
  <c r="R35" i="3"/>
  <c r="Q35" i="3"/>
  <c r="T34" i="3"/>
  <c r="S34" i="3"/>
  <c r="R34" i="3"/>
  <c r="Q34" i="3"/>
  <c r="T33" i="3"/>
  <c r="S33" i="3"/>
  <c r="R33" i="3"/>
  <c r="Q33" i="3"/>
  <c r="T32" i="3"/>
  <c r="S32" i="3"/>
  <c r="R32" i="3"/>
  <c r="Q32" i="3"/>
  <c r="T31" i="3"/>
  <c r="S31" i="3"/>
  <c r="R31" i="3"/>
  <c r="Q31" i="3"/>
  <c r="T30" i="3"/>
  <c r="S30" i="3"/>
  <c r="R30" i="3"/>
  <c r="Q30" i="3"/>
  <c r="T29" i="3"/>
  <c r="S29" i="3"/>
  <c r="R29" i="3"/>
  <c r="Q29" i="3"/>
  <c r="T28" i="3"/>
  <c r="S28" i="3"/>
  <c r="R28" i="3"/>
  <c r="Q28" i="3"/>
  <c r="T27" i="3"/>
  <c r="S27" i="3"/>
  <c r="R27" i="3"/>
  <c r="Q27" i="3"/>
  <c r="T26" i="3"/>
  <c r="S26" i="3"/>
  <c r="R26" i="3"/>
  <c r="Q26" i="3"/>
  <c r="T25" i="3"/>
  <c r="S25" i="3"/>
  <c r="R25" i="3"/>
  <c r="Q25" i="3"/>
  <c r="T24" i="3"/>
  <c r="S24" i="3"/>
  <c r="R24" i="3"/>
  <c r="Q24" i="3"/>
  <c r="T23" i="3"/>
  <c r="S23" i="3"/>
  <c r="R23" i="3"/>
  <c r="Q23" i="3"/>
  <c r="T22" i="3"/>
  <c r="S22" i="3"/>
  <c r="R22" i="3"/>
  <c r="Q22" i="3"/>
  <c r="T21" i="3"/>
  <c r="S21" i="3"/>
  <c r="R21" i="3"/>
  <c r="Q21" i="3"/>
  <c r="T20" i="3"/>
  <c r="S20" i="3"/>
  <c r="R20" i="3"/>
  <c r="Q20" i="3"/>
  <c r="T19" i="3"/>
  <c r="S19" i="3"/>
  <c r="R19" i="3"/>
  <c r="Q19" i="3"/>
  <c r="T18" i="3"/>
  <c r="S18" i="3"/>
  <c r="R18" i="3"/>
  <c r="Q18" i="3"/>
  <c r="T17" i="3"/>
  <c r="S17" i="3"/>
  <c r="R17" i="3"/>
  <c r="Q17" i="3"/>
  <c r="T16" i="3"/>
  <c r="S16" i="3"/>
  <c r="R16" i="3"/>
  <c r="Q16" i="3"/>
  <c r="T15" i="3"/>
  <c r="S15" i="3"/>
  <c r="R15" i="3"/>
  <c r="Q15" i="3"/>
  <c r="T14" i="3"/>
  <c r="S14" i="3"/>
  <c r="R14" i="3"/>
  <c r="Q14" i="3"/>
  <c r="T13" i="3"/>
  <c r="S13" i="3"/>
  <c r="R13" i="3"/>
  <c r="Q13" i="3"/>
  <c r="T12" i="3"/>
  <c r="S12" i="3"/>
  <c r="R12" i="3"/>
  <c r="Q12" i="3"/>
  <c r="T11" i="3"/>
  <c r="S11" i="3"/>
  <c r="R11" i="3"/>
  <c r="Q11" i="3"/>
  <c r="T10" i="3"/>
  <c r="S10" i="3"/>
  <c r="R10" i="3"/>
  <c r="Q10" i="3"/>
  <c r="T9" i="3"/>
  <c r="S9" i="3"/>
  <c r="R9" i="3"/>
  <c r="Q9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J72" i="2"/>
</calcChain>
</file>

<file path=xl/sharedStrings.xml><?xml version="1.0" encoding="utf-8"?>
<sst xmlns="http://schemas.openxmlformats.org/spreadsheetml/2006/main" count="210" uniqueCount="67">
  <si>
    <t>РЕЖИМ РАБОТЫ</t>
  </si>
  <si>
    <t>№ пп</t>
  </si>
  <si>
    <t>ЧАСЫ</t>
  </si>
  <si>
    <t>Т уст. град.</t>
  </si>
  <si>
    <t>Т вх. град.</t>
  </si>
  <si>
    <t xml:space="preserve">ДИА-МЕТР НКТ     </t>
  </si>
  <si>
    <t xml:space="preserve">СРЕДНЕ-СУТОЧ-НЫЙ ДЕБИТ </t>
  </si>
  <si>
    <t>№ СКВАЖИНЫ</t>
  </si>
  <si>
    <t>КАДЕНДАРНОЕ ВРЕМЯ</t>
  </si>
  <si>
    <t>КОД ПРОСТОЯ</t>
  </si>
  <si>
    <t xml:space="preserve">
мм</t>
  </si>
  <si>
    <t xml:space="preserve">
м</t>
  </si>
  <si>
    <t>ГЛУБИ-НА СПУСКА НКТ</t>
  </si>
  <si>
    <t xml:space="preserve"> 
т.м3</t>
  </si>
  <si>
    <t>утилизи-
ровано</t>
  </si>
  <si>
    <t>всего 
добыто</t>
  </si>
  <si>
    <t>всего
добыто</t>
  </si>
  <si>
    <t>выпуск в атмосферу</t>
  </si>
  <si>
    <t>Р мк.
МПа</t>
  </si>
  <si>
    <t>Р буф
МПа</t>
  </si>
  <si>
    <t>Р зт.
МПа</t>
  </si>
  <si>
    <t>Р вх. 
МПа</t>
  </si>
  <si>
    <t>ЕЖЕМЕСЯЧНЫЙ ЭКСПЛУАТАЦИОННЫЙ РАПОРТ ПО ДОБЫЧЕ ГАЗА</t>
  </si>
  <si>
    <t>Экз. №</t>
  </si>
  <si>
    <t>рабо-
ты</t>
  </si>
  <si>
    <t>прос-
тоя</t>
  </si>
  <si>
    <r>
      <t>ДОБЫТО    ГАЗА 
В   ДАННОМ    МЕСЯЦЕ
тыс.м</t>
    </r>
    <r>
      <rPr>
        <vertAlign val="superscript"/>
        <sz val="9"/>
        <rFont val="Times New Roman"/>
        <family val="1"/>
        <charset val="204"/>
      </rPr>
      <t>3</t>
    </r>
  </si>
  <si>
    <r>
      <t>ДОБЫТО    ГАЗА
С   НАЧАЛА  ГОДА,
тыс.м</t>
    </r>
    <r>
      <rPr>
        <vertAlign val="superscript"/>
        <sz val="9"/>
        <rFont val="Times New Roman"/>
        <family val="1"/>
        <charset val="204"/>
      </rPr>
      <t>3</t>
    </r>
  </si>
  <si>
    <r>
      <t>ДОБЫТО   ГАЗА
С   НАЧАЛА  РАЗРАБОТКИ
тыс.м</t>
    </r>
    <r>
      <rPr>
        <vertAlign val="superscript"/>
        <sz val="9"/>
        <rFont val="Times New Roman"/>
        <family val="1"/>
        <charset val="204"/>
      </rPr>
      <t>3</t>
    </r>
  </si>
  <si>
    <t>УКПГ-1АС</t>
  </si>
  <si>
    <t>Действующие</t>
  </si>
  <si>
    <t>ВСЕГО ПО ДЕЙСТВУЮЩЕМУ ФОНДУ:</t>
  </si>
  <si>
    <t>СПОСОБ ЭКСПЛУАТАЦИИ - ФОНТАННЫЙ</t>
  </si>
  <si>
    <t>ДАВЛЕНИЕ В КОЛЛЕКТОРЕ - 5.29</t>
  </si>
  <si>
    <t>ТЕМПЕРАТУРА КОЛЛЕКТОРА - 13.5</t>
  </si>
  <si>
    <t>Бездействующие</t>
  </si>
  <si>
    <t>Нагнетательные</t>
  </si>
  <si>
    <t>Наблюдательные в газовой среде</t>
  </si>
  <si>
    <t>Наблюдательные неперфорированные</t>
  </si>
  <si>
    <t>Пьезометрические</t>
  </si>
  <si>
    <t>Ликвидированные после эксплуатации</t>
  </si>
  <si>
    <t>СРЕДНЕЕ ПО УКПГ:</t>
  </si>
  <si>
    <t>ИТОГО ПО УКПГ</t>
  </si>
  <si>
    <t>в том числе:</t>
  </si>
  <si>
    <t>ТЕХНОЛОГИЧЕСКИЕ   ПОТЕРИ</t>
  </si>
  <si>
    <t>ВЫПУСК В АТМОСФЕРУ</t>
  </si>
  <si>
    <t>КОЛИЧЕСТВО ФАКТИЧЕСКИ ДОБЫТОГО ГАЗА</t>
  </si>
  <si>
    <t>ВСЕГО С НАЧАЛА КВАРТАЛА</t>
  </si>
  <si>
    <t>ВСЕГО С НАЧАЛА КВАРТАЛА ТЕХНОЛ. ПОТЕРИ</t>
  </si>
  <si>
    <t>ВСЕГО С НАЧАЛА КВАРТАЛА ВЫПУСК В АТМОСФЕРУ</t>
  </si>
  <si>
    <t>ВСЕГО С НАЧАЛА КВАРТАЛА ФАКТИЧЕСКИ ДОБЫТО ГАЗА</t>
  </si>
  <si>
    <t>КАЛЕНДАРНОЕ       ВРЕМЯ</t>
  </si>
  <si>
    <t>КОЭФФИЦИЕНТ ЭКСПЛУАТАЦИИ</t>
  </si>
  <si>
    <t>УКПГ-1</t>
  </si>
  <si>
    <t>Скважины, остановленные на конец отчетного месяца</t>
  </si>
  <si>
    <t>ДАВЛЕНИЕ В КОЛЛЕКТОРЕ - 5.41</t>
  </si>
  <si>
    <t>ТЕМПЕРАТУРА КОЛЛЕКТОРА - 1.6</t>
  </si>
  <si>
    <t>В консервации</t>
  </si>
  <si>
    <t>УКПГ-2</t>
  </si>
  <si>
    <t>ТЕМПЕРАТУРА КОЛЛЕКТОРА - 4.3</t>
  </si>
  <si>
    <t>ФИЛИАЛ "ОХТИНСКОЕ ГАЗОПРОМЫСЛОВОЕ УПРАВЛЕНИЕ"</t>
  </si>
  <si>
    <t xml:space="preserve">ОХТИНСКОЕ  НЕФТЕГАЗОКОНДЕНСАТНОЕ МЕСТОРОЖДЕНИЕ </t>
  </si>
  <si>
    <t>ЗА    ФЕВРАЛЬ      МЕСЯЦ    2028    ГОД</t>
  </si>
  <si>
    <t>ГОРИЗОНТ ЭКСПЛУАТАЦИИ - 100</t>
  </si>
  <si>
    <t xml:space="preserve">ООО "ГАЗПРОМ ДОБЫЧА МОРОЖЕННОГО"   </t>
  </si>
  <si>
    <t>УКПГ3</t>
  </si>
  <si>
    <t>ГОРИЗОНТ ЭКСПЛУАТАЦИИ -щщщщщ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</si>
</sst>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"/>
  </numFmts>
  <fonts count="9" x14ac:knownFonts="1">
    <font>
      <sz val="10"/>
      <name val="Arial Cyr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vertAlign val="superscript"/>
      <sz val="9"/>
      <name val="Times New Roman"/>
      <family val="1"/>
      <charset val="204"/>
    </font>
    <font>
      <sz val="8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right"/>
    </xf>
    <xf numFmtId="0" fontId="1" fillId="0" borderId="6" xfId="0" applyFont="1" applyBorder="1" applyAlignment="1">
      <alignment horizontal="center" vertical="top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0" fontId="2" fillId="0" borderId="7" xfId="0" applyFont="1" applyBorder="1"/>
    <xf numFmtId="165" fontId="2" fillId="0" borderId="7" xfId="0" applyNumberFormat="1" applyFont="1" applyBorder="1"/>
    <xf numFmtId="2" fontId="2" fillId="0" borderId="7" xfId="0" applyNumberFormat="1" applyFont="1" applyBorder="1"/>
    <xf numFmtId="164" fontId="2" fillId="0" borderId="7" xfId="0" applyNumberFormat="1" applyFont="1" applyBorder="1"/>
    <xf numFmtId="1" fontId="2" fillId="0" borderId="7" xfId="0" applyNumberFormat="1" applyFont="1" applyBorder="1"/>
    <xf numFmtId="0" fontId="8" fillId="0" borderId="7" xfId="0" applyFont="1" applyBorder="1"/>
    <xf numFmtId="0" fontId="8" fillId="0" borderId="0" xfId="0" applyFont="1"/>
    <xf numFmtId="1" fontId="2" fillId="0" borderId="0" xfId="0" applyNumberFormat="1" applyFont="1" applyAlignment="1">
      <alignment horizontal="center"/>
    </xf>
    <xf numFmtId="0" fontId="8" fillId="0" borderId="1" xfId="0" applyFont="1" applyBorder="1"/>
    <xf numFmtId="0" fontId="1" fillId="0" borderId="2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6" xfId="0" applyFont="1" applyBorder="1" applyAlignment="1">
      <alignment horizontal="center" vertical="center"/>
    </xf>
    <xf numFmtId="0" fontId="8" fillId="0" borderId="6" xfId="0" applyFont="1" applyBorder="1"/>
    <xf numFmtId="0" fontId="2" fillId="0" borderId="4" xfId="0" applyFont="1" applyBorder="1"/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8"/>
  <sheetViews>
    <sheetView zoomScale="85" zoomScaleNormal="85" zoomScaleSheetLayoutView="70" workbookViewId="0">
      <selection sqref="A1:XFD4"/>
    </sheetView>
  </sheetViews>
  <sheetFormatPr defaultColWidth="9.109375" defaultRowHeight="13.2" x14ac:dyDescent="0.25"/>
  <cols>
    <col min="1" max="1" width="4.33203125" style="1" customWidth="1"/>
    <col min="2" max="2" width="8.33203125" style="1" customWidth="1"/>
    <col min="3" max="3" width="7.44140625" style="1" customWidth="1"/>
    <col min="4" max="4" width="8" style="1" customWidth="1"/>
    <col min="5" max="10" width="6.33203125" style="1" customWidth="1"/>
    <col min="11" max="11" width="13.5546875" style="1" customWidth="1"/>
    <col min="12" max="12" width="11.6640625" style="1" customWidth="1"/>
    <col min="13" max="13" width="13.5546875" style="1" customWidth="1"/>
    <col min="14" max="14" width="7.5546875" style="1" customWidth="1"/>
    <col min="15" max="15" width="13.5546875" style="1" customWidth="1"/>
    <col min="16" max="16" width="11.88671875" style="1" customWidth="1"/>
    <col min="17" max="17" width="13.88671875" style="1" customWidth="1"/>
    <col min="18" max="18" width="17.33203125" style="1" customWidth="1"/>
    <col min="19" max="19" width="12.88671875" style="1" customWidth="1"/>
    <col min="20" max="20" width="17" style="1" customWidth="1"/>
    <col min="21" max="21" width="8.33203125" style="1" customWidth="1"/>
    <col min="22" max="22" width="5.6640625" style="1" customWidth="1"/>
    <col min="23" max="23" width="8.33203125" style="1" customWidth="1"/>
    <col min="24" max="24" width="5.109375" style="1" customWidth="1"/>
    <col min="25" max="16384" width="9.109375" style="1"/>
  </cols>
  <sheetData>
    <row r="1" spans="1:24" ht="15.6" x14ac:dyDescent="0.25">
      <c r="T1" s="17" t="s">
        <v>23</v>
      </c>
    </row>
    <row r="2" spans="1:24" s="14" customFormat="1" ht="13.8" x14ac:dyDescent="0.25">
      <c r="A2" s="14" t="s">
        <v>64</v>
      </c>
      <c r="N2" s="15" t="s">
        <v>22</v>
      </c>
    </row>
    <row r="3" spans="1:24" s="14" customFormat="1" ht="13.8" x14ac:dyDescent="0.25">
      <c r="A3" s="14" t="s">
        <v>60</v>
      </c>
      <c r="N3" s="15" t="s">
        <v>61</v>
      </c>
    </row>
    <row r="4" spans="1:24" x14ac:dyDescent="0.25">
      <c r="K4" s="12"/>
      <c r="M4" s="18" t="s">
        <v>29</v>
      </c>
      <c r="N4" s="16" t="s">
        <v>62</v>
      </c>
    </row>
    <row r="5" spans="1:24" ht="12.75" customHeight="1" x14ac:dyDescent="0.25">
      <c r="A5" s="2"/>
      <c r="B5" s="2"/>
      <c r="C5" s="2"/>
    </row>
    <row r="6" spans="1:24" ht="48" customHeight="1" x14ac:dyDescent="0.25">
      <c r="A6" s="32" t="s">
        <v>1</v>
      </c>
      <c r="B6" s="32" t="s">
        <v>7</v>
      </c>
      <c r="C6" s="3" t="s">
        <v>5</v>
      </c>
      <c r="D6" s="3" t="s">
        <v>12</v>
      </c>
      <c r="E6" s="34" t="s">
        <v>0</v>
      </c>
      <c r="F6" s="35"/>
      <c r="G6" s="35"/>
      <c r="H6" s="35"/>
      <c r="I6" s="36"/>
      <c r="J6" s="37"/>
      <c r="K6" s="34" t="s">
        <v>26</v>
      </c>
      <c r="L6" s="36"/>
      <c r="M6" s="37"/>
      <c r="N6" s="4" t="s">
        <v>6</v>
      </c>
      <c r="O6" s="34" t="s">
        <v>27</v>
      </c>
      <c r="P6" s="35"/>
      <c r="Q6" s="38"/>
      <c r="R6" s="34" t="s">
        <v>28</v>
      </c>
      <c r="S6" s="36"/>
      <c r="T6" s="37"/>
      <c r="U6" s="43" t="s">
        <v>2</v>
      </c>
      <c r="V6" s="36"/>
      <c r="W6" s="32" t="s">
        <v>8</v>
      </c>
      <c r="X6" s="32" t="s">
        <v>9</v>
      </c>
    </row>
    <row r="7" spans="1:24" ht="24.75" customHeight="1" x14ac:dyDescent="0.25">
      <c r="A7" s="33"/>
      <c r="B7" s="33"/>
      <c r="C7" s="5" t="s">
        <v>10</v>
      </c>
      <c r="D7" s="5" t="s">
        <v>11</v>
      </c>
      <c r="E7" s="6" t="s">
        <v>18</v>
      </c>
      <c r="F7" s="7" t="s">
        <v>19</v>
      </c>
      <c r="G7" s="7" t="s">
        <v>20</v>
      </c>
      <c r="H7" s="7" t="s">
        <v>21</v>
      </c>
      <c r="I7" s="7" t="s">
        <v>3</v>
      </c>
      <c r="J7" s="7" t="s">
        <v>4</v>
      </c>
      <c r="K7" s="7" t="s">
        <v>14</v>
      </c>
      <c r="L7" s="8" t="s">
        <v>17</v>
      </c>
      <c r="M7" s="7" t="s">
        <v>16</v>
      </c>
      <c r="N7" s="5" t="s">
        <v>13</v>
      </c>
      <c r="O7" s="7" t="s">
        <v>14</v>
      </c>
      <c r="P7" s="8" t="s">
        <v>17</v>
      </c>
      <c r="Q7" s="7" t="s">
        <v>15</v>
      </c>
      <c r="R7" s="7" t="s">
        <v>14</v>
      </c>
      <c r="S7" s="8" t="s">
        <v>17</v>
      </c>
      <c r="T7" s="7" t="s">
        <v>15</v>
      </c>
      <c r="U7" s="7" t="s">
        <v>24</v>
      </c>
      <c r="V7" s="9" t="s">
        <v>25</v>
      </c>
      <c r="W7" s="33"/>
      <c r="X7" s="33"/>
    </row>
    <row r="8" spans="1:24" s="11" customFormat="1" ht="10.199999999999999" x14ac:dyDescent="0.2">
      <c r="A8" s="10">
        <v>1</v>
      </c>
      <c r="B8" s="10">
        <v>2</v>
      </c>
      <c r="C8" s="10">
        <v>3</v>
      </c>
      <c r="D8" s="10">
        <v>4</v>
      </c>
      <c r="E8" s="10">
        <v>5</v>
      </c>
      <c r="F8" s="10">
        <v>6</v>
      </c>
      <c r="G8" s="10">
        <v>7</v>
      </c>
      <c r="H8" s="10">
        <v>8</v>
      </c>
      <c r="I8" s="10">
        <v>9</v>
      </c>
      <c r="J8" s="10">
        <v>10</v>
      </c>
      <c r="K8" s="10">
        <v>11</v>
      </c>
      <c r="L8" s="10">
        <v>12</v>
      </c>
      <c r="M8" s="10">
        <v>13</v>
      </c>
      <c r="N8" s="10">
        <v>14</v>
      </c>
      <c r="O8" s="10">
        <v>15</v>
      </c>
      <c r="P8" s="10">
        <v>16</v>
      </c>
      <c r="Q8" s="10">
        <v>17</v>
      </c>
      <c r="R8" s="10">
        <v>18</v>
      </c>
      <c r="S8" s="10">
        <v>19</v>
      </c>
      <c r="T8" s="10">
        <v>20</v>
      </c>
      <c r="U8" s="10">
        <v>21</v>
      </c>
      <c r="V8" s="10">
        <v>22</v>
      </c>
      <c r="W8" s="10">
        <v>23</v>
      </c>
      <c r="X8" s="10">
        <v>24</v>
      </c>
    </row>
    <row r="9" spans="1:24" x14ac:dyDescent="0.25">
      <c r="N9" s="18" t="s">
        <v>30</v>
      </c>
    </row>
    <row r="10" spans="1:24" x14ac:dyDescent="0.25">
      <c r="A10" s="1">
        <v>1</v>
      </c>
      <c r="B10" s="1">
        <v>1591</v>
      </c>
      <c r="C10" s="19">
        <v>89</v>
      </c>
      <c r="D10" s="19">
        <v>1254.7</v>
      </c>
      <c r="E10" s="21">
        <v>1.4</v>
      </c>
      <c r="F10" s="21">
        <v>1.45</v>
      </c>
      <c r="G10" s="21">
        <v>0</v>
      </c>
      <c r="H10" s="21">
        <v>1.31</v>
      </c>
      <c r="I10" s="19">
        <v>6</v>
      </c>
      <c r="J10" s="19">
        <v>4.8</v>
      </c>
      <c r="K10" s="22">
        <v>2096.2350000000001</v>
      </c>
      <c r="L10" s="1">
        <v>3</v>
      </c>
      <c r="M10" s="22">
        <v>2099.2350000000001</v>
      </c>
      <c r="N10" s="20">
        <v>77.879000000000005</v>
      </c>
      <c r="O10" s="22">
        <v>12929.279</v>
      </c>
      <c r="P10" s="1">
        <v>3</v>
      </c>
      <c r="Q10" s="22">
        <v>12932.279</v>
      </c>
      <c r="R10" s="22">
        <v>768185.103</v>
      </c>
      <c r="S10" s="1">
        <v>426</v>
      </c>
      <c r="T10" s="22">
        <v>768611.103</v>
      </c>
      <c r="U10" s="1">
        <v>646</v>
      </c>
      <c r="V10" s="1">
        <v>97</v>
      </c>
      <c r="W10" s="1">
        <v>744</v>
      </c>
      <c r="X10" s="1">
        <v>327</v>
      </c>
    </row>
    <row r="11" spans="1:24" x14ac:dyDescent="0.25">
      <c r="C11" s="19"/>
      <c r="D11" s="19"/>
      <c r="E11" s="21"/>
      <c r="F11" s="21"/>
      <c r="G11" s="21"/>
      <c r="H11" s="21"/>
      <c r="I11" s="19"/>
      <c r="J11" s="19"/>
      <c r="K11" s="22"/>
      <c r="M11" s="22"/>
      <c r="N11" s="20"/>
      <c r="O11" s="22"/>
      <c r="Q11" s="22"/>
      <c r="R11" s="22"/>
      <c r="T11" s="22"/>
      <c r="V11" s="1">
        <v>1</v>
      </c>
      <c r="X11" s="1">
        <v>341</v>
      </c>
    </row>
    <row r="12" spans="1:24" x14ac:dyDescent="0.25">
      <c r="A12" s="1">
        <v>2</v>
      </c>
      <c r="B12" s="1">
        <v>1620</v>
      </c>
      <c r="C12" s="19">
        <v>168.3</v>
      </c>
      <c r="D12" s="19">
        <v>1166.8499999999999</v>
      </c>
      <c r="E12" s="21">
        <v>0</v>
      </c>
      <c r="F12" s="21">
        <v>1.33</v>
      </c>
      <c r="G12" s="21">
        <v>0</v>
      </c>
      <c r="H12" s="21">
        <v>1.3</v>
      </c>
      <c r="I12" s="19">
        <v>1</v>
      </c>
      <c r="J12" s="19">
        <v>0.3</v>
      </c>
      <c r="K12" s="22">
        <v>1841.123</v>
      </c>
      <c r="L12" s="1">
        <v>6</v>
      </c>
      <c r="M12" s="22">
        <v>1847.123</v>
      </c>
      <c r="N12" s="20">
        <v>59.470999999999997</v>
      </c>
      <c r="O12" s="22">
        <v>13804.748</v>
      </c>
      <c r="P12" s="1">
        <v>55</v>
      </c>
      <c r="Q12" s="22">
        <v>13859.748</v>
      </c>
      <c r="R12" s="22">
        <v>3869026.5359999998</v>
      </c>
      <c r="S12" s="1">
        <v>9839</v>
      </c>
      <c r="T12" s="22">
        <v>3878865.5359999998</v>
      </c>
      <c r="U12" s="1">
        <v>743</v>
      </c>
      <c r="V12" s="1">
        <v>1</v>
      </c>
      <c r="W12" s="1">
        <v>744</v>
      </c>
      <c r="X12" s="1">
        <v>341</v>
      </c>
    </row>
    <row r="13" spans="1:24" x14ac:dyDescent="0.25">
      <c r="A13" s="1">
        <v>3</v>
      </c>
      <c r="B13" s="1">
        <v>1630</v>
      </c>
      <c r="C13" s="19">
        <v>168.3</v>
      </c>
      <c r="D13" s="19">
        <v>1193.92</v>
      </c>
      <c r="E13" s="21">
        <v>0</v>
      </c>
      <c r="F13" s="21">
        <v>1.35</v>
      </c>
      <c r="G13" s="21">
        <v>0</v>
      </c>
      <c r="H13" s="21">
        <v>1.31</v>
      </c>
      <c r="I13" s="19">
        <v>1</v>
      </c>
      <c r="J13" s="19">
        <v>0.4</v>
      </c>
      <c r="K13" s="22">
        <v>4757.68</v>
      </c>
      <c r="L13" s="1">
        <v>6</v>
      </c>
      <c r="M13" s="22">
        <v>4763.68</v>
      </c>
      <c r="N13" s="20">
        <v>158.589</v>
      </c>
      <c r="O13" s="22">
        <v>27323.323</v>
      </c>
      <c r="P13" s="1">
        <v>30</v>
      </c>
      <c r="Q13" s="22">
        <v>27353.323</v>
      </c>
      <c r="R13" s="22">
        <v>6253884.1440000003</v>
      </c>
      <c r="S13" s="1">
        <v>7586</v>
      </c>
      <c r="T13" s="22">
        <v>6261470.1440000003</v>
      </c>
      <c r="U13" s="1">
        <v>720</v>
      </c>
      <c r="V13" s="1">
        <v>23</v>
      </c>
      <c r="W13" s="1">
        <v>744</v>
      </c>
      <c r="X13" s="1">
        <v>314</v>
      </c>
    </row>
    <row r="14" spans="1:24" x14ac:dyDescent="0.25">
      <c r="C14" s="19"/>
      <c r="D14" s="19"/>
      <c r="E14" s="21"/>
      <c r="F14" s="21"/>
      <c r="G14" s="21"/>
      <c r="H14" s="21"/>
      <c r="I14" s="19"/>
      <c r="J14" s="19"/>
      <c r="K14" s="22"/>
      <c r="M14" s="22"/>
      <c r="N14" s="20"/>
      <c r="O14" s="22"/>
      <c r="Q14" s="22"/>
      <c r="R14" s="22"/>
      <c r="T14" s="22"/>
      <c r="V14" s="1">
        <v>1</v>
      </c>
      <c r="X14" s="1">
        <v>341</v>
      </c>
    </row>
    <row r="15" spans="1:24" x14ac:dyDescent="0.25">
      <c r="A15" s="1">
        <v>4</v>
      </c>
      <c r="B15" s="1">
        <v>1631</v>
      </c>
      <c r="C15" s="19">
        <v>168.3</v>
      </c>
      <c r="D15" s="19">
        <v>1218.9000000000001</v>
      </c>
      <c r="E15" s="21">
        <v>0</v>
      </c>
      <c r="F15" s="21">
        <v>1.35</v>
      </c>
      <c r="G15" s="21">
        <v>0</v>
      </c>
      <c r="H15" s="21">
        <v>1.31</v>
      </c>
      <c r="I15" s="19">
        <v>1</v>
      </c>
      <c r="J15" s="19">
        <v>0.4</v>
      </c>
      <c r="K15" s="22">
        <v>3943.9070000000002</v>
      </c>
      <c r="L15" s="1">
        <v>6</v>
      </c>
      <c r="M15" s="22">
        <v>3949.9070000000002</v>
      </c>
      <c r="N15" s="20">
        <v>145.846</v>
      </c>
      <c r="O15" s="22">
        <v>27023.269</v>
      </c>
      <c r="P15" s="1">
        <v>13</v>
      </c>
      <c r="Q15" s="22">
        <v>27036.269</v>
      </c>
      <c r="R15" s="22">
        <v>5344449.8940000003</v>
      </c>
      <c r="S15" s="1">
        <v>4445</v>
      </c>
      <c r="T15" s="22">
        <v>5348894.8940000003</v>
      </c>
      <c r="U15" s="1">
        <v>649</v>
      </c>
      <c r="V15" s="1">
        <v>94</v>
      </c>
      <c r="W15" s="1">
        <v>744</v>
      </c>
      <c r="X15" s="1">
        <v>314</v>
      </c>
    </row>
    <row r="16" spans="1:24" x14ac:dyDescent="0.25">
      <c r="C16" s="19"/>
      <c r="D16" s="19"/>
      <c r="E16" s="21"/>
      <c r="F16" s="21"/>
      <c r="G16" s="21"/>
      <c r="H16" s="21"/>
      <c r="I16" s="19"/>
      <c r="J16" s="19"/>
      <c r="K16" s="22"/>
      <c r="M16" s="22"/>
      <c r="N16" s="20"/>
      <c r="O16" s="22"/>
      <c r="Q16" s="22"/>
      <c r="R16" s="22"/>
      <c r="T16" s="22"/>
      <c r="V16" s="1">
        <v>1</v>
      </c>
      <c r="X16" s="1">
        <v>341</v>
      </c>
    </row>
    <row r="17" spans="1:24" x14ac:dyDescent="0.25">
      <c r="A17" s="1">
        <v>5</v>
      </c>
      <c r="B17" s="1">
        <v>1640</v>
      </c>
      <c r="C17" s="19">
        <v>89</v>
      </c>
      <c r="D17" s="19">
        <v>1160</v>
      </c>
      <c r="E17" s="21">
        <v>1.4</v>
      </c>
      <c r="F17" s="21">
        <v>1.32</v>
      </c>
      <c r="G17" s="21">
        <v>0</v>
      </c>
      <c r="H17" s="21">
        <v>1.31</v>
      </c>
      <c r="I17" s="19">
        <v>7</v>
      </c>
      <c r="J17" s="19">
        <v>0.3</v>
      </c>
      <c r="K17" s="22">
        <v>1404.6479999999999</v>
      </c>
      <c r="L17" s="1">
        <v>3</v>
      </c>
      <c r="M17" s="22">
        <v>1407.6479999999999</v>
      </c>
      <c r="N17" s="20">
        <v>45.311</v>
      </c>
      <c r="O17" s="22">
        <v>9644.1149999999998</v>
      </c>
      <c r="P17" s="1">
        <v>13</v>
      </c>
      <c r="Q17" s="22">
        <v>9657.1149999999998</v>
      </c>
      <c r="R17" s="22">
        <v>3151824.875</v>
      </c>
      <c r="S17" s="1">
        <v>7708</v>
      </c>
      <c r="T17" s="22">
        <v>3159532.875</v>
      </c>
      <c r="U17" s="1">
        <v>744</v>
      </c>
      <c r="V17" s="1">
        <v>0</v>
      </c>
      <c r="W17" s="1">
        <v>744</v>
      </c>
      <c r="X17" s="1">
        <v>0</v>
      </c>
    </row>
    <row r="18" spans="1:24" x14ac:dyDescent="0.25">
      <c r="A18" s="1">
        <v>6</v>
      </c>
      <c r="B18" s="1">
        <v>1641</v>
      </c>
      <c r="C18" s="19">
        <v>101.6</v>
      </c>
      <c r="D18" s="19">
        <v>1174.4000000000001</v>
      </c>
      <c r="E18" s="21">
        <v>1.7</v>
      </c>
      <c r="F18" s="21">
        <v>1.32</v>
      </c>
      <c r="G18" s="21">
        <v>0</v>
      </c>
      <c r="H18" s="21">
        <v>1.31</v>
      </c>
      <c r="I18" s="19">
        <v>8</v>
      </c>
      <c r="J18" s="19">
        <v>0.3</v>
      </c>
      <c r="K18" s="22">
        <v>1536.3340000000001</v>
      </c>
      <c r="L18" s="1">
        <v>0</v>
      </c>
      <c r="M18" s="22">
        <v>1536.3340000000001</v>
      </c>
      <c r="N18" s="20">
        <v>49.558999999999997</v>
      </c>
      <c r="O18" s="22">
        <v>11123.337</v>
      </c>
      <c r="P18" s="1">
        <v>5</v>
      </c>
      <c r="Q18" s="22">
        <v>11128.337</v>
      </c>
      <c r="R18" s="22">
        <v>3659218.148</v>
      </c>
      <c r="S18" s="1">
        <v>4708</v>
      </c>
      <c r="T18" s="22">
        <v>3663926.148</v>
      </c>
      <c r="U18" s="1">
        <v>744</v>
      </c>
      <c r="V18" s="1">
        <v>0</v>
      </c>
      <c r="W18" s="1">
        <v>744</v>
      </c>
      <c r="X18" s="1">
        <v>0</v>
      </c>
    </row>
    <row r="19" spans="1:24" x14ac:dyDescent="0.25">
      <c r="A19" s="1">
        <v>7</v>
      </c>
      <c r="B19" s="1">
        <v>1642</v>
      </c>
      <c r="C19" s="19">
        <v>168.3</v>
      </c>
      <c r="D19" s="19">
        <v>1185.4000000000001</v>
      </c>
      <c r="E19" s="21">
        <v>0</v>
      </c>
      <c r="F19" s="21">
        <v>1.32</v>
      </c>
      <c r="G19" s="21">
        <v>0</v>
      </c>
      <c r="H19" s="21">
        <v>1.31</v>
      </c>
      <c r="I19" s="19">
        <v>0</v>
      </c>
      <c r="J19" s="19">
        <v>0.3</v>
      </c>
      <c r="K19" s="22">
        <v>1536.3340000000001</v>
      </c>
      <c r="L19" s="1">
        <v>0</v>
      </c>
      <c r="M19" s="22">
        <v>1536.3340000000001</v>
      </c>
      <c r="N19" s="20">
        <v>49.558999999999997</v>
      </c>
      <c r="O19" s="22">
        <v>8098.76</v>
      </c>
      <c r="P19" s="1">
        <v>11</v>
      </c>
      <c r="Q19" s="22">
        <v>8109.76</v>
      </c>
      <c r="R19" s="22">
        <v>5614641.4840000002</v>
      </c>
      <c r="S19" s="1">
        <v>5090</v>
      </c>
      <c r="T19" s="22">
        <v>5619731.4840000002</v>
      </c>
      <c r="U19" s="1">
        <v>744</v>
      </c>
      <c r="V19" s="1">
        <v>0</v>
      </c>
      <c r="W19" s="1">
        <v>744</v>
      </c>
      <c r="X19" s="1">
        <v>0</v>
      </c>
    </row>
    <row r="20" spans="1:24" x14ac:dyDescent="0.25">
      <c r="A20" s="1">
        <v>8</v>
      </c>
      <c r="B20" s="1">
        <v>1650</v>
      </c>
      <c r="C20" s="19">
        <v>168.3</v>
      </c>
      <c r="D20" s="19">
        <v>1169.5</v>
      </c>
      <c r="E20" s="21">
        <v>0</v>
      </c>
      <c r="F20" s="21">
        <v>1.32</v>
      </c>
      <c r="G20" s="21">
        <v>0</v>
      </c>
      <c r="H20" s="21">
        <v>1.31</v>
      </c>
      <c r="I20" s="19">
        <v>1</v>
      </c>
      <c r="J20" s="19">
        <v>0</v>
      </c>
      <c r="K20" s="22">
        <v>1931.3920000000001</v>
      </c>
      <c r="L20" s="1">
        <v>0</v>
      </c>
      <c r="M20" s="22">
        <v>1931.3920000000001</v>
      </c>
      <c r="N20" s="20">
        <v>62.302999999999997</v>
      </c>
      <c r="O20" s="22">
        <v>11571.23</v>
      </c>
      <c r="P20" s="1">
        <v>3</v>
      </c>
      <c r="Q20" s="22">
        <v>11574.23</v>
      </c>
      <c r="R20" s="22">
        <v>3664267.2489999998</v>
      </c>
      <c r="S20" s="1">
        <v>4413</v>
      </c>
      <c r="T20" s="22">
        <v>3668680.2489999998</v>
      </c>
      <c r="U20" s="1">
        <v>744</v>
      </c>
      <c r="V20" s="1">
        <v>0</v>
      </c>
      <c r="W20" s="1">
        <v>744</v>
      </c>
      <c r="X20" s="1">
        <v>0</v>
      </c>
    </row>
    <row r="21" spans="1:24" x14ac:dyDescent="0.25">
      <c r="A21" s="1">
        <v>9</v>
      </c>
      <c r="B21" s="1">
        <v>1651</v>
      </c>
      <c r="C21" s="19">
        <v>168.3</v>
      </c>
      <c r="D21" s="19">
        <v>1185.77</v>
      </c>
      <c r="E21" s="21">
        <v>0</v>
      </c>
      <c r="F21" s="21">
        <v>1.32</v>
      </c>
      <c r="G21" s="21">
        <v>1.4</v>
      </c>
      <c r="H21" s="21">
        <v>1.31</v>
      </c>
      <c r="I21" s="19">
        <v>0.5</v>
      </c>
      <c r="J21" s="19">
        <v>0</v>
      </c>
      <c r="K21" s="22">
        <v>3116.5639999999999</v>
      </c>
      <c r="L21" s="1">
        <v>3</v>
      </c>
      <c r="M21" s="22">
        <v>3119.5639999999999</v>
      </c>
      <c r="N21" s="20">
        <v>100.53400000000001</v>
      </c>
      <c r="O21" s="22">
        <v>19024.990000000002</v>
      </c>
      <c r="P21" s="1">
        <v>26</v>
      </c>
      <c r="Q21" s="22">
        <v>19050.990000000002</v>
      </c>
      <c r="R21" s="22">
        <v>4332087.2920000004</v>
      </c>
      <c r="S21" s="1">
        <v>6210</v>
      </c>
      <c r="T21" s="22">
        <v>4338297.2920000004</v>
      </c>
      <c r="U21" s="1">
        <v>744</v>
      </c>
      <c r="V21" s="1">
        <v>0</v>
      </c>
      <c r="W21" s="1">
        <v>744</v>
      </c>
      <c r="X21" s="1">
        <v>0</v>
      </c>
    </row>
    <row r="22" spans="1:24" x14ac:dyDescent="0.25">
      <c r="A22" s="1">
        <v>10</v>
      </c>
      <c r="B22" s="1">
        <v>1660</v>
      </c>
      <c r="C22" s="19">
        <v>89</v>
      </c>
      <c r="D22" s="19">
        <v>1161.72</v>
      </c>
      <c r="E22" s="21">
        <v>0</v>
      </c>
      <c r="F22" s="21">
        <v>1.4</v>
      </c>
      <c r="G22" s="21">
        <v>0</v>
      </c>
      <c r="H22" s="21">
        <v>1.31</v>
      </c>
      <c r="I22" s="19">
        <v>3</v>
      </c>
      <c r="J22" s="19">
        <v>1.4</v>
      </c>
      <c r="K22" s="22">
        <v>1753.45</v>
      </c>
      <c r="L22" s="1">
        <v>2</v>
      </c>
      <c r="M22" s="22">
        <v>1755.45</v>
      </c>
      <c r="N22" s="20">
        <v>56.639000000000003</v>
      </c>
      <c r="O22" s="22">
        <v>10699.052</v>
      </c>
      <c r="P22" s="1">
        <v>10</v>
      </c>
      <c r="Q22" s="22">
        <v>10709.052</v>
      </c>
      <c r="R22" s="22">
        <v>2014688.642</v>
      </c>
      <c r="S22" s="1">
        <v>7318</v>
      </c>
      <c r="T22" s="22">
        <v>2022006.642</v>
      </c>
      <c r="U22" s="1">
        <v>743</v>
      </c>
      <c r="V22" s="1">
        <v>1</v>
      </c>
      <c r="W22" s="1">
        <v>744</v>
      </c>
      <c r="X22" s="1">
        <v>341</v>
      </c>
    </row>
    <row r="23" spans="1:24" x14ac:dyDescent="0.25">
      <c r="A23" s="1">
        <v>11</v>
      </c>
      <c r="B23" s="1">
        <v>1661</v>
      </c>
      <c r="C23" s="19">
        <v>114</v>
      </c>
      <c r="D23" s="19">
        <v>1159</v>
      </c>
      <c r="E23" s="21">
        <v>0</v>
      </c>
      <c r="F23" s="21">
        <v>1.4</v>
      </c>
      <c r="G23" s="21">
        <v>0</v>
      </c>
      <c r="H23" s="21">
        <v>1.31</v>
      </c>
      <c r="I23" s="19">
        <v>7</v>
      </c>
      <c r="J23" s="19">
        <v>1.4</v>
      </c>
      <c r="K23" s="22">
        <v>1753.45</v>
      </c>
      <c r="L23" s="1">
        <v>2</v>
      </c>
      <c r="M23" s="22">
        <v>1755.45</v>
      </c>
      <c r="N23" s="20">
        <v>56.639000000000003</v>
      </c>
      <c r="O23" s="22">
        <v>10584.156999999999</v>
      </c>
      <c r="P23" s="1">
        <v>5</v>
      </c>
      <c r="Q23" s="22">
        <v>10589.156999999999</v>
      </c>
      <c r="R23" s="22">
        <v>3422578.824</v>
      </c>
      <c r="S23" s="1">
        <v>5325</v>
      </c>
      <c r="T23" s="22">
        <v>3427903.824</v>
      </c>
      <c r="U23" s="1">
        <v>743</v>
      </c>
      <c r="V23" s="1">
        <v>1</v>
      </c>
      <c r="W23" s="1">
        <v>744</v>
      </c>
      <c r="X23" s="1">
        <v>341</v>
      </c>
    </row>
    <row r="24" spans="1:24" x14ac:dyDescent="0.25">
      <c r="A24" s="1">
        <v>12</v>
      </c>
      <c r="B24" s="1">
        <v>1662</v>
      </c>
      <c r="C24" s="19">
        <v>114.3</v>
      </c>
      <c r="D24" s="19">
        <v>1175.5</v>
      </c>
      <c r="E24" s="21">
        <v>0</v>
      </c>
      <c r="F24" s="21">
        <v>1.4</v>
      </c>
      <c r="G24" s="21">
        <v>0</v>
      </c>
      <c r="H24" s="21">
        <v>1.31</v>
      </c>
      <c r="I24" s="19">
        <v>2</v>
      </c>
      <c r="J24" s="19">
        <v>1.4</v>
      </c>
      <c r="K24" s="22">
        <v>223.01599999999999</v>
      </c>
      <c r="L24" s="1">
        <v>0</v>
      </c>
      <c r="M24" s="22">
        <v>223.01599999999999</v>
      </c>
      <c r="N24" s="20">
        <v>84.957999999999998</v>
      </c>
      <c r="O24" s="22">
        <v>9734.8040000000001</v>
      </c>
      <c r="P24" s="1">
        <v>37</v>
      </c>
      <c r="Q24" s="22">
        <v>9771.8040000000001</v>
      </c>
      <c r="R24" s="22">
        <v>3118618.102</v>
      </c>
      <c r="S24" s="1">
        <v>4498</v>
      </c>
      <c r="T24" s="22">
        <v>3123116.102</v>
      </c>
      <c r="U24" s="1">
        <v>63</v>
      </c>
      <c r="V24" s="1">
        <v>0</v>
      </c>
      <c r="W24" s="1">
        <v>63</v>
      </c>
      <c r="X24" s="1">
        <v>0</v>
      </c>
    </row>
    <row r="25" spans="1:24" x14ac:dyDescent="0.25">
      <c r="A25" s="1">
        <v>13</v>
      </c>
      <c r="B25" s="1">
        <v>1670</v>
      </c>
      <c r="C25" s="19">
        <v>168.3</v>
      </c>
      <c r="D25" s="19">
        <v>1173.5</v>
      </c>
      <c r="E25" s="21">
        <v>0</v>
      </c>
      <c r="F25" s="21">
        <v>1.35</v>
      </c>
      <c r="G25" s="21">
        <v>1.6</v>
      </c>
      <c r="H25" s="21">
        <v>1.31</v>
      </c>
      <c r="I25" s="19">
        <v>3</v>
      </c>
      <c r="J25" s="19">
        <v>0.4</v>
      </c>
      <c r="K25" s="22">
        <v>1536.3340000000001</v>
      </c>
      <c r="L25" s="1">
        <v>3</v>
      </c>
      <c r="M25" s="22">
        <v>1539.3340000000001</v>
      </c>
      <c r="N25" s="20">
        <v>49.558999999999997</v>
      </c>
      <c r="O25" s="22">
        <v>7654.3789999999999</v>
      </c>
      <c r="P25" s="1">
        <v>20</v>
      </c>
      <c r="Q25" s="22">
        <v>7674.3789999999999</v>
      </c>
      <c r="R25" s="22">
        <v>6381736.6320000002</v>
      </c>
      <c r="S25" s="1">
        <v>5241</v>
      </c>
      <c r="T25" s="22">
        <v>6386977.6320000002</v>
      </c>
      <c r="U25" s="1">
        <v>744</v>
      </c>
      <c r="V25" s="1">
        <v>0</v>
      </c>
      <c r="W25" s="1">
        <v>744</v>
      </c>
      <c r="X25" s="1">
        <v>0</v>
      </c>
    </row>
    <row r="26" spans="1:24" x14ac:dyDescent="0.25">
      <c r="A26" s="1">
        <v>14</v>
      </c>
      <c r="B26" s="1">
        <v>1671</v>
      </c>
      <c r="C26" s="19">
        <v>168.3</v>
      </c>
      <c r="D26" s="19">
        <v>1213.2</v>
      </c>
      <c r="E26" s="21">
        <v>0</v>
      </c>
      <c r="F26" s="21">
        <v>1.35</v>
      </c>
      <c r="G26" s="21">
        <v>0</v>
      </c>
      <c r="H26" s="21">
        <v>1.31</v>
      </c>
      <c r="I26" s="19">
        <v>2</v>
      </c>
      <c r="J26" s="19">
        <v>0.4</v>
      </c>
      <c r="K26" s="22">
        <v>4082.26</v>
      </c>
      <c r="L26" s="1">
        <v>3</v>
      </c>
      <c r="M26" s="22">
        <v>4085.26</v>
      </c>
      <c r="N26" s="20">
        <v>131.68600000000001</v>
      </c>
      <c r="O26" s="22">
        <v>30916.190999999999</v>
      </c>
      <c r="P26" s="1">
        <v>30</v>
      </c>
      <c r="Q26" s="22">
        <v>30946.190999999999</v>
      </c>
      <c r="R26" s="22">
        <v>6346188.2560000001</v>
      </c>
      <c r="S26" s="1">
        <v>4389</v>
      </c>
      <c r="T26" s="22">
        <v>6350577.2560000001</v>
      </c>
      <c r="U26" s="1">
        <v>744</v>
      </c>
      <c r="V26" s="1">
        <v>0</v>
      </c>
      <c r="W26" s="1">
        <v>744</v>
      </c>
      <c r="X26" s="1">
        <v>0</v>
      </c>
    </row>
    <row r="27" spans="1:24" x14ac:dyDescent="0.25">
      <c r="A27" s="1">
        <v>15</v>
      </c>
      <c r="B27" s="1">
        <v>1680</v>
      </c>
      <c r="C27" s="19">
        <v>168.3</v>
      </c>
      <c r="D27" s="19">
        <v>1132.3</v>
      </c>
      <c r="E27" s="21">
        <v>0</v>
      </c>
      <c r="F27" s="21">
        <v>1.4</v>
      </c>
      <c r="G27" s="21">
        <v>0</v>
      </c>
      <c r="H27" s="21">
        <v>1.31</v>
      </c>
      <c r="I27" s="19">
        <v>14</v>
      </c>
      <c r="J27" s="19">
        <v>1.4</v>
      </c>
      <c r="K27" s="22">
        <v>6891.5569999999998</v>
      </c>
      <c r="L27" s="1">
        <v>0</v>
      </c>
      <c r="M27" s="22">
        <v>6891.5569999999998</v>
      </c>
      <c r="N27" s="20">
        <v>222.30799999999999</v>
      </c>
      <c r="O27" s="22">
        <v>42164.794999999998</v>
      </c>
      <c r="P27" s="1">
        <v>3</v>
      </c>
      <c r="Q27" s="22">
        <v>42167.794999999998</v>
      </c>
      <c r="R27" s="22">
        <v>4098621.4479999999</v>
      </c>
      <c r="S27" s="1">
        <v>3997</v>
      </c>
      <c r="T27" s="22">
        <v>4102618.4479999999</v>
      </c>
      <c r="U27" s="1">
        <v>744</v>
      </c>
      <c r="V27" s="1">
        <v>0</v>
      </c>
      <c r="W27" s="1">
        <v>744</v>
      </c>
      <c r="X27" s="1">
        <v>0</v>
      </c>
    </row>
    <row r="28" spans="1:24" x14ac:dyDescent="0.25">
      <c r="A28" s="1">
        <v>16</v>
      </c>
      <c r="B28" s="1">
        <v>1681</v>
      </c>
      <c r="C28" s="19">
        <v>168.3</v>
      </c>
      <c r="D28" s="19">
        <v>1218.2</v>
      </c>
      <c r="E28" s="21">
        <v>1.4</v>
      </c>
      <c r="F28" s="21">
        <v>1.4</v>
      </c>
      <c r="G28" s="21">
        <v>0</v>
      </c>
      <c r="H28" s="21">
        <v>1.31</v>
      </c>
      <c r="I28" s="19">
        <v>0</v>
      </c>
      <c r="J28" s="19">
        <v>1.4</v>
      </c>
      <c r="K28" s="22">
        <v>3981.9609999999998</v>
      </c>
      <c r="L28" s="1">
        <v>4</v>
      </c>
      <c r="M28" s="22">
        <v>3985.9609999999998</v>
      </c>
      <c r="N28" s="20">
        <v>133.102</v>
      </c>
      <c r="O28" s="22">
        <v>24758.774000000001</v>
      </c>
      <c r="P28" s="1">
        <v>7</v>
      </c>
      <c r="Q28" s="22">
        <v>24765.774000000001</v>
      </c>
      <c r="R28" s="22">
        <v>6896012.648</v>
      </c>
      <c r="S28" s="1">
        <v>3811</v>
      </c>
      <c r="T28" s="22">
        <v>6899823.648</v>
      </c>
      <c r="U28" s="1">
        <v>718</v>
      </c>
      <c r="V28" s="1">
        <v>25</v>
      </c>
      <c r="W28" s="1">
        <v>744</v>
      </c>
      <c r="X28" s="1">
        <v>314</v>
      </c>
    </row>
    <row r="29" spans="1:24" x14ac:dyDescent="0.25">
      <c r="C29" s="19"/>
      <c r="D29" s="19"/>
      <c r="E29" s="21"/>
      <c r="F29" s="21"/>
      <c r="G29" s="21"/>
      <c r="H29" s="21"/>
      <c r="I29" s="19"/>
      <c r="J29" s="19"/>
      <c r="K29" s="22"/>
      <c r="M29" s="22"/>
      <c r="N29" s="20"/>
      <c r="O29" s="22"/>
      <c r="Q29" s="22"/>
      <c r="R29" s="22"/>
      <c r="T29" s="22"/>
      <c r="V29" s="1">
        <v>1</v>
      </c>
      <c r="X29" s="1">
        <v>341</v>
      </c>
    </row>
    <row r="30" spans="1:24" x14ac:dyDescent="0.25">
      <c r="A30" s="1">
        <v>17</v>
      </c>
      <c r="B30" s="1">
        <v>1682</v>
      </c>
      <c r="C30" s="19">
        <v>168.3</v>
      </c>
      <c r="D30" s="19">
        <v>1018.36</v>
      </c>
      <c r="E30" s="21">
        <v>0</v>
      </c>
      <c r="F30" s="21">
        <v>1.4</v>
      </c>
      <c r="G30" s="21">
        <v>0</v>
      </c>
      <c r="H30" s="21">
        <v>1.31</v>
      </c>
      <c r="I30" s="19">
        <v>15</v>
      </c>
      <c r="J30" s="19">
        <v>1.4</v>
      </c>
      <c r="K30" s="22">
        <v>2123.9639999999999</v>
      </c>
      <c r="L30" s="1">
        <v>0</v>
      </c>
      <c r="M30" s="22">
        <v>2123.9639999999999</v>
      </c>
      <c r="N30" s="20">
        <v>70.799000000000007</v>
      </c>
      <c r="O30" s="22">
        <v>12932.040999999999</v>
      </c>
      <c r="P30" s="1">
        <v>18</v>
      </c>
      <c r="Q30" s="22">
        <v>12950.040999999999</v>
      </c>
      <c r="R30" s="22">
        <v>3465695.9619999998</v>
      </c>
      <c r="S30" s="1">
        <v>6039</v>
      </c>
      <c r="T30" s="22">
        <v>3471734.9619999998</v>
      </c>
      <c r="U30" s="1">
        <v>720</v>
      </c>
      <c r="V30" s="1">
        <v>24</v>
      </c>
      <c r="W30" s="1">
        <v>744</v>
      </c>
      <c r="X30" s="1">
        <v>314</v>
      </c>
    </row>
    <row r="31" spans="1:24" x14ac:dyDescent="0.25">
      <c r="C31" s="19">
        <v>127</v>
      </c>
      <c r="D31" s="19">
        <v>1198.9000000000001</v>
      </c>
      <c r="E31" s="21"/>
      <c r="F31" s="21"/>
      <c r="G31" s="21"/>
      <c r="H31" s="21"/>
      <c r="I31" s="19"/>
      <c r="J31" s="19"/>
      <c r="K31" s="22"/>
      <c r="M31" s="22"/>
      <c r="N31" s="20"/>
      <c r="O31" s="22"/>
      <c r="Q31" s="22"/>
      <c r="R31" s="22"/>
      <c r="T31" s="22"/>
    </row>
    <row r="32" spans="1:24" x14ac:dyDescent="0.25">
      <c r="A32" s="1">
        <v>18</v>
      </c>
      <c r="B32" s="1">
        <v>1690</v>
      </c>
      <c r="C32" s="19">
        <v>114</v>
      </c>
      <c r="D32" s="19">
        <v>1159.77</v>
      </c>
      <c r="E32" s="21">
        <v>0</v>
      </c>
      <c r="F32" s="21">
        <v>1.4</v>
      </c>
      <c r="G32" s="21">
        <v>0</v>
      </c>
      <c r="H32" s="21">
        <v>1.32</v>
      </c>
      <c r="I32" s="19">
        <v>4</v>
      </c>
      <c r="J32" s="19">
        <v>1.3</v>
      </c>
      <c r="K32" s="22">
        <v>2019.182</v>
      </c>
      <c r="L32" s="1">
        <v>3</v>
      </c>
      <c r="M32" s="22">
        <v>2022.182</v>
      </c>
      <c r="N32" s="20">
        <v>65.135000000000005</v>
      </c>
      <c r="O32" s="22">
        <v>12113.441999999999</v>
      </c>
      <c r="P32" s="1">
        <v>18</v>
      </c>
      <c r="Q32" s="22">
        <v>12131.441999999999</v>
      </c>
      <c r="R32" s="22">
        <v>4278521.7029999997</v>
      </c>
      <c r="S32" s="1">
        <v>5439</v>
      </c>
      <c r="T32" s="22">
        <v>4283960.7029999997</v>
      </c>
      <c r="U32" s="1">
        <v>744</v>
      </c>
      <c r="V32" s="1">
        <v>0</v>
      </c>
      <c r="W32" s="1">
        <v>744</v>
      </c>
      <c r="X32" s="1">
        <v>0</v>
      </c>
    </row>
    <row r="33" spans="1:24" x14ac:dyDescent="0.25">
      <c r="A33" s="1">
        <v>19</v>
      </c>
      <c r="B33" s="1">
        <v>1691</v>
      </c>
      <c r="C33" s="19">
        <v>168.3</v>
      </c>
      <c r="D33" s="19">
        <v>1191.2</v>
      </c>
      <c r="E33" s="21">
        <v>0</v>
      </c>
      <c r="F33" s="21">
        <v>1.4</v>
      </c>
      <c r="G33" s="21">
        <v>0</v>
      </c>
      <c r="H33" s="21">
        <v>1.32</v>
      </c>
      <c r="I33" s="19">
        <v>0</v>
      </c>
      <c r="J33" s="19">
        <v>1.3</v>
      </c>
      <c r="K33" s="22">
        <v>1448.5440000000001</v>
      </c>
      <c r="L33" s="1">
        <v>0</v>
      </c>
      <c r="M33" s="22">
        <v>1448.5440000000001</v>
      </c>
      <c r="N33" s="20">
        <v>46.726999999999997</v>
      </c>
      <c r="O33" s="22">
        <v>8703.6919999999991</v>
      </c>
      <c r="P33" s="1">
        <v>3</v>
      </c>
      <c r="Q33" s="22">
        <v>8706.6919999999991</v>
      </c>
      <c r="R33" s="22">
        <v>3555692.6090000002</v>
      </c>
      <c r="S33" s="1">
        <v>5354</v>
      </c>
      <c r="T33" s="22">
        <v>3561046.6090000002</v>
      </c>
      <c r="U33" s="1">
        <v>744</v>
      </c>
      <c r="V33" s="1">
        <v>0</v>
      </c>
      <c r="W33" s="1">
        <v>744</v>
      </c>
      <c r="X33" s="1">
        <v>0</v>
      </c>
    </row>
    <row r="34" spans="1:24" x14ac:dyDescent="0.25">
      <c r="A34" s="1">
        <v>20</v>
      </c>
      <c r="B34" s="1">
        <v>1700</v>
      </c>
      <c r="C34" s="19">
        <v>168.3</v>
      </c>
      <c r="D34" s="19">
        <v>1180.3</v>
      </c>
      <c r="E34" s="21">
        <v>0</v>
      </c>
      <c r="F34" s="21">
        <v>1.35</v>
      </c>
      <c r="G34" s="21">
        <v>0</v>
      </c>
      <c r="H34" s="21">
        <v>1.32</v>
      </c>
      <c r="I34" s="19">
        <v>6</v>
      </c>
      <c r="J34" s="19">
        <v>1.3</v>
      </c>
      <c r="K34" s="22">
        <v>1272.963</v>
      </c>
      <c r="L34" s="1">
        <v>0</v>
      </c>
      <c r="M34" s="22">
        <v>1272.963</v>
      </c>
      <c r="N34" s="20">
        <v>41.063000000000002</v>
      </c>
      <c r="O34" s="22">
        <v>5657.1040000000003</v>
      </c>
      <c r="P34" s="1">
        <v>196</v>
      </c>
      <c r="Q34" s="22">
        <v>5853.1040000000003</v>
      </c>
      <c r="R34" s="22">
        <v>6269999.6390000004</v>
      </c>
      <c r="S34" s="1">
        <v>4951</v>
      </c>
      <c r="T34" s="22">
        <v>6274950.6390000004</v>
      </c>
      <c r="U34" s="1">
        <v>744</v>
      </c>
      <c r="V34" s="1">
        <v>0</v>
      </c>
      <c r="W34" s="1">
        <v>744</v>
      </c>
      <c r="X34" s="1">
        <v>0</v>
      </c>
    </row>
    <row r="35" spans="1:24" x14ac:dyDescent="0.25">
      <c r="A35" s="1">
        <v>21</v>
      </c>
      <c r="B35" s="1">
        <v>1701</v>
      </c>
      <c r="C35" s="19">
        <v>168.3</v>
      </c>
      <c r="D35" s="19">
        <v>1214.4000000000001</v>
      </c>
      <c r="E35" s="21">
        <v>0</v>
      </c>
      <c r="F35" s="21">
        <v>1.35</v>
      </c>
      <c r="G35" s="21">
        <v>0</v>
      </c>
      <c r="H35" s="21">
        <v>1.32</v>
      </c>
      <c r="I35" s="19">
        <v>4</v>
      </c>
      <c r="J35" s="19">
        <v>1.3</v>
      </c>
      <c r="K35" s="22">
        <v>3818.8879999999999</v>
      </c>
      <c r="L35" s="1">
        <v>0</v>
      </c>
      <c r="M35" s="22">
        <v>3818.8879999999999</v>
      </c>
      <c r="N35" s="20">
        <v>123.19</v>
      </c>
      <c r="O35" s="22">
        <v>31389.079000000002</v>
      </c>
      <c r="P35" s="1">
        <v>21</v>
      </c>
      <c r="Q35" s="22">
        <v>31410.079000000002</v>
      </c>
      <c r="R35" s="22">
        <v>6994802.784</v>
      </c>
      <c r="S35" s="1">
        <v>5703</v>
      </c>
      <c r="T35" s="22">
        <v>7000505.784</v>
      </c>
      <c r="U35" s="1">
        <v>744</v>
      </c>
      <c r="V35" s="1">
        <v>0</v>
      </c>
      <c r="W35" s="1">
        <v>744</v>
      </c>
      <c r="X35" s="1">
        <v>0</v>
      </c>
    </row>
    <row r="36" spans="1:24" x14ac:dyDescent="0.25">
      <c r="A36" s="1">
        <v>22</v>
      </c>
      <c r="B36" s="1">
        <v>1702</v>
      </c>
      <c r="C36" s="19">
        <v>168.3</v>
      </c>
      <c r="D36" s="19">
        <v>1135.5999999999999</v>
      </c>
      <c r="E36" s="21">
        <v>0</v>
      </c>
      <c r="F36" s="21">
        <v>1.35</v>
      </c>
      <c r="G36" s="21">
        <v>0</v>
      </c>
      <c r="H36" s="21">
        <v>1.32</v>
      </c>
      <c r="I36" s="19">
        <v>18</v>
      </c>
      <c r="J36" s="19">
        <v>1.3</v>
      </c>
      <c r="K36" s="22">
        <v>5267.4309999999996</v>
      </c>
      <c r="L36" s="1">
        <v>0</v>
      </c>
      <c r="M36" s="22">
        <v>5267.4309999999996</v>
      </c>
      <c r="N36" s="20">
        <v>169.917</v>
      </c>
      <c r="O36" s="22">
        <v>30881.114000000001</v>
      </c>
      <c r="P36" s="1">
        <v>38</v>
      </c>
      <c r="Q36" s="22">
        <v>30919.114000000001</v>
      </c>
      <c r="R36" s="22">
        <v>6995562.3930000002</v>
      </c>
      <c r="S36" s="1">
        <v>7943</v>
      </c>
      <c r="T36" s="22">
        <v>7003505.3930000002</v>
      </c>
      <c r="U36" s="1">
        <v>744</v>
      </c>
      <c r="V36" s="1">
        <v>0</v>
      </c>
      <c r="W36" s="1">
        <v>744</v>
      </c>
      <c r="X36" s="1">
        <v>0</v>
      </c>
    </row>
    <row r="37" spans="1:24" x14ac:dyDescent="0.25">
      <c r="A37" s="1">
        <v>23</v>
      </c>
      <c r="B37" s="1">
        <v>1710</v>
      </c>
      <c r="C37" s="19">
        <v>168.3</v>
      </c>
      <c r="D37" s="19">
        <v>1152.3</v>
      </c>
      <c r="E37" s="21">
        <v>0</v>
      </c>
      <c r="F37" s="21">
        <v>1.4</v>
      </c>
      <c r="G37" s="21">
        <v>0</v>
      </c>
      <c r="H37" s="21">
        <v>1.31</v>
      </c>
      <c r="I37" s="19">
        <v>13</v>
      </c>
      <c r="J37" s="19">
        <v>3.6</v>
      </c>
      <c r="K37" s="22">
        <v>4652.8980000000001</v>
      </c>
      <c r="L37" s="1">
        <v>0</v>
      </c>
      <c r="M37" s="22">
        <v>4652.8980000000001</v>
      </c>
      <c r="N37" s="20">
        <v>150.09299999999999</v>
      </c>
      <c r="O37" s="22">
        <v>28184.356</v>
      </c>
      <c r="P37" s="1">
        <v>3</v>
      </c>
      <c r="Q37" s="22">
        <v>28187.356</v>
      </c>
      <c r="R37" s="22">
        <v>5510208.2860000003</v>
      </c>
      <c r="S37" s="1">
        <v>6148</v>
      </c>
      <c r="T37" s="22">
        <v>5516356.2860000003</v>
      </c>
      <c r="U37" s="1">
        <v>744</v>
      </c>
      <c r="V37" s="1">
        <v>0</v>
      </c>
      <c r="W37" s="1">
        <v>744</v>
      </c>
      <c r="X37" s="1">
        <v>0</v>
      </c>
    </row>
    <row r="38" spans="1:24" x14ac:dyDescent="0.25">
      <c r="A38" s="1">
        <v>24</v>
      </c>
      <c r="B38" s="1">
        <v>1711</v>
      </c>
      <c r="C38" s="19">
        <v>168.3</v>
      </c>
      <c r="D38" s="19">
        <v>1211.95</v>
      </c>
      <c r="E38" s="21">
        <v>0</v>
      </c>
      <c r="F38" s="21">
        <v>1.4</v>
      </c>
      <c r="G38" s="21">
        <v>0</v>
      </c>
      <c r="H38" s="21">
        <v>1.31</v>
      </c>
      <c r="I38" s="19">
        <v>4</v>
      </c>
      <c r="J38" s="19">
        <v>3.6</v>
      </c>
      <c r="K38" s="22">
        <v>2414.2399999999998</v>
      </c>
      <c r="L38" s="1">
        <v>0</v>
      </c>
      <c r="M38" s="22">
        <v>2414.2399999999998</v>
      </c>
      <c r="N38" s="20">
        <v>77.879000000000005</v>
      </c>
      <c r="O38" s="22">
        <v>14432.446</v>
      </c>
      <c r="P38" s="1">
        <v>3</v>
      </c>
      <c r="Q38" s="22">
        <v>14435.446</v>
      </c>
      <c r="R38" s="22">
        <v>7609983.5959999999</v>
      </c>
      <c r="S38" s="1">
        <v>5947</v>
      </c>
      <c r="T38" s="22">
        <v>7615930.5959999999</v>
      </c>
      <c r="U38" s="1">
        <v>744</v>
      </c>
      <c r="V38" s="1">
        <v>0</v>
      </c>
      <c r="W38" s="1">
        <v>744</v>
      </c>
      <c r="X38" s="1">
        <v>0</v>
      </c>
    </row>
    <row r="39" spans="1:24" x14ac:dyDescent="0.25">
      <c r="A39" s="1">
        <v>25</v>
      </c>
      <c r="B39" s="1">
        <v>1720</v>
      </c>
      <c r="C39" s="19">
        <v>168.3</v>
      </c>
      <c r="D39" s="19">
        <v>1201.8</v>
      </c>
      <c r="E39" s="21">
        <v>0</v>
      </c>
      <c r="F39" s="21">
        <v>1.35</v>
      </c>
      <c r="G39" s="21">
        <v>0</v>
      </c>
      <c r="H39" s="21">
        <v>1.32</v>
      </c>
      <c r="I39" s="19">
        <v>17</v>
      </c>
      <c r="J39" s="19">
        <v>4.5</v>
      </c>
      <c r="K39" s="22">
        <v>2454.83</v>
      </c>
      <c r="L39" s="1">
        <v>3</v>
      </c>
      <c r="M39" s="22">
        <v>2457.83</v>
      </c>
      <c r="N39" s="20">
        <v>79.295000000000002</v>
      </c>
      <c r="O39" s="22">
        <v>14626.398999999999</v>
      </c>
      <c r="P39" s="1">
        <v>8</v>
      </c>
      <c r="Q39" s="22">
        <v>14634.398999999999</v>
      </c>
      <c r="R39" s="22">
        <v>6602562.8439999996</v>
      </c>
      <c r="S39" s="1">
        <v>3959</v>
      </c>
      <c r="T39" s="22">
        <v>6606521.8439999996</v>
      </c>
      <c r="U39" s="1">
        <v>743</v>
      </c>
      <c r="V39" s="1">
        <v>1</v>
      </c>
      <c r="W39" s="1">
        <v>744</v>
      </c>
      <c r="X39" s="1">
        <v>312</v>
      </c>
    </row>
    <row r="40" spans="1:24" x14ac:dyDescent="0.25">
      <c r="A40" s="1">
        <v>26</v>
      </c>
      <c r="B40" s="1">
        <v>1721</v>
      </c>
      <c r="C40" s="19">
        <v>127</v>
      </c>
      <c r="D40" s="19">
        <v>1163.0999999999999</v>
      </c>
      <c r="E40" s="21">
        <v>0</v>
      </c>
      <c r="F40" s="21">
        <v>1.35</v>
      </c>
      <c r="G40" s="21">
        <v>0</v>
      </c>
      <c r="H40" s="21">
        <v>1.32</v>
      </c>
      <c r="I40" s="19">
        <v>15</v>
      </c>
      <c r="J40" s="19">
        <v>4.5</v>
      </c>
      <c r="K40" s="22">
        <v>4478.0249999999996</v>
      </c>
      <c r="L40" s="1">
        <v>8</v>
      </c>
      <c r="M40" s="22">
        <v>4486.0249999999996</v>
      </c>
      <c r="N40" s="20">
        <v>155.75700000000001</v>
      </c>
      <c r="O40" s="22">
        <v>28569.65</v>
      </c>
      <c r="P40" s="1">
        <v>11</v>
      </c>
      <c r="Q40" s="22">
        <v>28580.65</v>
      </c>
      <c r="R40" s="22">
        <v>3371929.017</v>
      </c>
      <c r="S40" s="1">
        <v>4988</v>
      </c>
      <c r="T40" s="22">
        <v>3376917.017</v>
      </c>
      <c r="U40" s="1">
        <v>690</v>
      </c>
      <c r="V40" s="1">
        <v>1</v>
      </c>
      <c r="W40" s="1">
        <v>744</v>
      </c>
      <c r="X40" s="1">
        <v>312</v>
      </c>
    </row>
    <row r="41" spans="1:24" x14ac:dyDescent="0.25">
      <c r="C41" s="19"/>
      <c r="D41" s="19"/>
      <c r="E41" s="21"/>
      <c r="F41" s="21"/>
      <c r="G41" s="21"/>
      <c r="H41" s="21"/>
      <c r="I41" s="19"/>
      <c r="J41" s="19"/>
      <c r="K41" s="22"/>
      <c r="M41" s="22"/>
      <c r="N41" s="20"/>
      <c r="O41" s="22"/>
      <c r="Q41" s="22"/>
      <c r="R41" s="22"/>
      <c r="T41" s="22"/>
      <c r="V41" s="1">
        <v>52</v>
      </c>
      <c r="X41" s="1">
        <v>314</v>
      </c>
    </row>
    <row r="42" spans="1:24" x14ac:dyDescent="0.25">
      <c r="C42" s="19"/>
      <c r="D42" s="19"/>
      <c r="E42" s="21"/>
      <c r="F42" s="21"/>
      <c r="G42" s="21"/>
      <c r="H42" s="21"/>
      <c r="I42" s="19"/>
      <c r="J42" s="19"/>
      <c r="K42" s="22"/>
      <c r="M42" s="22"/>
      <c r="N42" s="20"/>
      <c r="O42" s="22"/>
      <c r="Q42" s="22"/>
      <c r="R42" s="22"/>
      <c r="T42" s="22"/>
      <c r="V42" s="1">
        <v>1</v>
      </c>
      <c r="X42" s="1">
        <v>341</v>
      </c>
    </row>
    <row r="43" spans="1:24" x14ac:dyDescent="0.25">
      <c r="A43" s="1">
        <v>27</v>
      </c>
      <c r="B43" s="1">
        <v>1730</v>
      </c>
      <c r="C43" s="19">
        <v>168.3</v>
      </c>
      <c r="D43" s="19">
        <v>1172.9000000000001</v>
      </c>
      <c r="E43" s="21">
        <v>0</v>
      </c>
      <c r="F43" s="21">
        <v>1.4</v>
      </c>
      <c r="G43" s="21">
        <v>0</v>
      </c>
      <c r="H43" s="21">
        <v>1.31</v>
      </c>
      <c r="I43" s="19">
        <v>1</v>
      </c>
      <c r="J43" s="19">
        <v>1.7</v>
      </c>
      <c r="K43" s="22">
        <v>5530.8029999999999</v>
      </c>
      <c r="L43" s="1">
        <v>0</v>
      </c>
      <c r="M43" s="22">
        <v>5530.8029999999999</v>
      </c>
      <c r="N43" s="20">
        <v>178.41300000000001</v>
      </c>
      <c r="O43" s="22">
        <v>32282.888999999999</v>
      </c>
      <c r="P43" s="1">
        <v>3</v>
      </c>
      <c r="Q43" s="22">
        <v>32285.888999999999</v>
      </c>
      <c r="R43" s="22">
        <v>6082931.648</v>
      </c>
      <c r="S43" s="1">
        <v>4969</v>
      </c>
      <c r="T43" s="22">
        <v>6087900.648</v>
      </c>
      <c r="U43" s="1">
        <v>744</v>
      </c>
      <c r="V43" s="1">
        <v>0</v>
      </c>
      <c r="W43" s="1">
        <v>744</v>
      </c>
      <c r="X43" s="1">
        <v>0</v>
      </c>
    </row>
    <row r="44" spans="1:24" x14ac:dyDescent="0.25">
      <c r="A44" s="1">
        <v>28</v>
      </c>
      <c r="B44" s="1">
        <v>1731</v>
      </c>
      <c r="C44" s="19">
        <v>168.3</v>
      </c>
      <c r="D44" s="19">
        <v>1175.4000000000001</v>
      </c>
      <c r="E44" s="21">
        <v>0</v>
      </c>
      <c r="F44" s="21">
        <v>1.4</v>
      </c>
      <c r="G44" s="21">
        <v>0</v>
      </c>
      <c r="H44" s="21">
        <v>1.31</v>
      </c>
      <c r="I44" s="19">
        <v>3</v>
      </c>
      <c r="J44" s="19">
        <v>1.7</v>
      </c>
      <c r="K44" s="22">
        <v>1097.3810000000001</v>
      </c>
      <c r="L44" s="1">
        <v>0</v>
      </c>
      <c r="M44" s="22">
        <v>1097.3810000000001</v>
      </c>
      <c r="N44" s="20">
        <v>35.399000000000001</v>
      </c>
      <c r="O44" s="22">
        <v>4618.9989999999998</v>
      </c>
      <c r="P44" s="1">
        <v>31</v>
      </c>
      <c r="Q44" s="22">
        <v>4649.9989999999998</v>
      </c>
      <c r="R44" s="22">
        <v>5199266.9759999998</v>
      </c>
      <c r="S44" s="1">
        <v>5103</v>
      </c>
      <c r="T44" s="22">
        <v>5204369.9759999998</v>
      </c>
      <c r="U44" s="1">
        <v>744</v>
      </c>
      <c r="V44" s="1">
        <v>0</v>
      </c>
      <c r="W44" s="1">
        <v>744</v>
      </c>
      <c r="X44" s="1">
        <v>0</v>
      </c>
    </row>
    <row r="45" spans="1:24" x14ac:dyDescent="0.25">
      <c r="A45" s="1">
        <v>29</v>
      </c>
      <c r="B45" s="1">
        <v>1740</v>
      </c>
      <c r="C45" s="19">
        <v>114</v>
      </c>
      <c r="D45" s="19">
        <v>1175.7</v>
      </c>
      <c r="E45" s="21">
        <v>0</v>
      </c>
      <c r="F45" s="21">
        <v>1.35</v>
      </c>
      <c r="G45" s="21">
        <v>0</v>
      </c>
      <c r="H45" s="21">
        <v>1.32</v>
      </c>
      <c r="I45" s="19">
        <v>0</v>
      </c>
      <c r="J45" s="19">
        <v>4.5</v>
      </c>
      <c r="K45" s="22">
        <v>1974.3430000000001</v>
      </c>
      <c r="L45" s="1">
        <v>3</v>
      </c>
      <c r="M45" s="22">
        <v>1977.3430000000001</v>
      </c>
      <c r="N45" s="20">
        <v>66.551000000000002</v>
      </c>
      <c r="O45" s="22">
        <v>13340.321</v>
      </c>
      <c r="P45" s="1">
        <v>15</v>
      </c>
      <c r="Q45" s="22">
        <v>13355.321</v>
      </c>
      <c r="R45" s="22">
        <v>3993142.83</v>
      </c>
      <c r="S45" s="1">
        <v>10145</v>
      </c>
      <c r="T45" s="22">
        <v>4003287.83</v>
      </c>
      <c r="U45" s="1">
        <v>712</v>
      </c>
      <c r="V45" s="1">
        <v>31</v>
      </c>
      <c r="W45" s="1">
        <v>744</v>
      </c>
      <c r="X45" s="1">
        <v>317</v>
      </c>
    </row>
    <row r="46" spans="1:24" x14ac:dyDescent="0.25">
      <c r="C46" s="19"/>
      <c r="D46" s="19"/>
      <c r="E46" s="21"/>
      <c r="F46" s="21"/>
      <c r="G46" s="21"/>
      <c r="H46" s="21"/>
      <c r="I46" s="19"/>
      <c r="J46" s="19"/>
      <c r="K46" s="22"/>
      <c r="M46" s="22"/>
      <c r="N46" s="20"/>
      <c r="O46" s="22"/>
      <c r="Q46" s="22"/>
      <c r="R46" s="22"/>
      <c r="T46" s="22"/>
      <c r="V46" s="1">
        <v>1</v>
      </c>
      <c r="X46" s="1">
        <v>341</v>
      </c>
    </row>
    <row r="47" spans="1:24" x14ac:dyDescent="0.25">
      <c r="A47" s="1">
        <v>30</v>
      </c>
      <c r="B47" s="1">
        <v>1741</v>
      </c>
      <c r="C47" s="19">
        <v>127</v>
      </c>
      <c r="D47" s="19">
        <v>1183.2</v>
      </c>
      <c r="E47" s="21">
        <v>0</v>
      </c>
      <c r="F47" s="21">
        <v>1.35</v>
      </c>
      <c r="G47" s="21">
        <v>0</v>
      </c>
      <c r="H47" s="21">
        <v>1.32</v>
      </c>
      <c r="I47" s="19">
        <v>16</v>
      </c>
      <c r="J47" s="19">
        <v>4.5</v>
      </c>
      <c r="K47" s="22">
        <v>4652.8980000000001</v>
      </c>
      <c r="L47" s="1">
        <v>0</v>
      </c>
      <c r="M47" s="22">
        <v>4652.8980000000001</v>
      </c>
      <c r="N47" s="20">
        <v>150.09299999999999</v>
      </c>
      <c r="O47" s="22">
        <v>28402.067999999999</v>
      </c>
      <c r="P47" s="1">
        <v>24</v>
      </c>
      <c r="Q47" s="22">
        <v>28426.067999999999</v>
      </c>
      <c r="R47" s="22">
        <v>3870878.523</v>
      </c>
      <c r="S47" s="1">
        <v>5892</v>
      </c>
      <c r="T47" s="22">
        <v>3876770.523</v>
      </c>
      <c r="U47" s="1">
        <v>744</v>
      </c>
      <c r="V47" s="1">
        <v>0</v>
      </c>
      <c r="W47" s="1">
        <v>744</v>
      </c>
      <c r="X47" s="1">
        <v>0</v>
      </c>
    </row>
    <row r="48" spans="1:24" x14ac:dyDescent="0.25">
      <c r="A48" s="1">
        <v>31</v>
      </c>
      <c r="B48" s="1">
        <v>1750</v>
      </c>
      <c r="C48" s="19">
        <v>168.3</v>
      </c>
      <c r="D48" s="19">
        <v>1184.8</v>
      </c>
      <c r="E48" s="21">
        <v>1.2</v>
      </c>
      <c r="F48" s="21">
        <v>1.4</v>
      </c>
      <c r="G48" s="21">
        <v>0</v>
      </c>
      <c r="H48" s="21">
        <v>1.31</v>
      </c>
      <c r="I48" s="19">
        <v>18</v>
      </c>
      <c r="J48" s="19">
        <v>3.6</v>
      </c>
      <c r="K48" s="22">
        <v>5443.0129999999999</v>
      </c>
      <c r="L48" s="1">
        <v>3</v>
      </c>
      <c r="M48" s="22">
        <v>5446.0129999999999</v>
      </c>
      <c r="N48" s="20">
        <v>175.58099999999999</v>
      </c>
      <c r="O48" s="22">
        <v>31502.873</v>
      </c>
      <c r="P48" s="1">
        <v>45</v>
      </c>
      <c r="Q48" s="22">
        <v>31547.873</v>
      </c>
      <c r="R48" s="22">
        <v>7440891.7570000002</v>
      </c>
      <c r="S48" s="1">
        <v>4316</v>
      </c>
      <c r="T48" s="22">
        <v>7445207.7570000002</v>
      </c>
      <c r="U48" s="1">
        <v>744</v>
      </c>
      <c r="V48" s="1">
        <v>0</v>
      </c>
      <c r="W48" s="1">
        <v>744</v>
      </c>
      <c r="X48" s="1">
        <v>0</v>
      </c>
    </row>
    <row r="49" spans="1:24" x14ac:dyDescent="0.25">
      <c r="A49" s="1">
        <v>32</v>
      </c>
      <c r="B49" s="1">
        <v>1751</v>
      </c>
      <c r="C49" s="19">
        <v>168.3</v>
      </c>
      <c r="D49" s="19">
        <v>1173.4000000000001</v>
      </c>
      <c r="E49" s="21">
        <v>0</v>
      </c>
      <c r="F49" s="21">
        <v>1.5</v>
      </c>
      <c r="G49" s="21">
        <v>0</v>
      </c>
      <c r="H49" s="21">
        <v>1.31</v>
      </c>
      <c r="I49" s="19">
        <v>3</v>
      </c>
      <c r="J49" s="19">
        <v>3.6</v>
      </c>
      <c r="K49" s="22">
        <v>2747.2890000000002</v>
      </c>
      <c r="L49" s="1">
        <v>8</v>
      </c>
      <c r="M49" s="22">
        <v>2755.2890000000002</v>
      </c>
      <c r="N49" s="20">
        <v>94.87</v>
      </c>
      <c r="O49" s="22">
        <v>15812.296</v>
      </c>
      <c r="P49" s="1">
        <v>63</v>
      </c>
      <c r="Q49" s="22">
        <v>15875.296</v>
      </c>
      <c r="R49" s="22">
        <v>5666375.9220000003</v>
      </c>
      <c r="S49" s="1">
        <v>3666</v>
      </c>
      <c r="T49" s="22">
        <v>5670041.9220000003</v>
      </c>
      <c r="U49" s="1">
        <v>695</v>
      </c>
      <c r="V49" s="1">
        <v>47</v>
      </c>
      <c r="W49" s="1">
        <v>744</v>
      </c>
      <c r="X49" s="1">
        <v>314</v>
      </c>
    </row>
    <row r="50" spans="1:24" x14ac:dyDescent="0.25">
      <c r="C50" s="19"/>
      <c r="D50" s="19"/>
      <c r="E50" s="21"/>
      <c r="F50" s="21"/>
      <c r="G50" s="21"/>
      <c r="H50" s="21"/>
      <c r="I50" s="19"/>
      <c r="J50" s="19"/>
      <c r="K50" s="22"/>
      <c r="M50" s="22"/>
      <c r="N50" s="20"/>
      <c r="O50" s="22"/>
      <c r="Q50" s="22"/>
      <c r="R50" s="22"/>
      <c r="T50" s="22"/>
      <c r="V50" s="1">
        <v>2</v>
      </c>
      <c r="X50" s="1">
        <v>341</v>
      </c>
    </row>
    <row r="51" spans="1:24" x14ac:dyDescent="0.25">
      <c r="A51" s="1">
        <v>33</v>
      </c>
      <c r="B51" s="1">
        <v>1752</v>
      </c>
      <c r="C51" s="19">
        <v>101.6</v>
      </c>
      <c r="D51" s="19">
        <v>1184.57</v>
      </c>
      <c r="E51" s="21">
        <v>0.4</v>
      </c>
      <c r="F51" s="21">
        <v>1.5</v>
      </c>
      <c r="G51" s="21">
        <v>0</v>
      </c>
      <c r="H51" s="21">
        <v>1.31</v>
      </c>
      <c r="I51" s="19">
        <v>6</v>
      </c>
      <c r="J51" s="19">
        <v>3.6</v>
      </c>
      <c r="K51" s="22">
        <v>2739.9140000000002</v>
      </c>
      <c r="L51" s="1">
        <v>3</v>
      </c>
      <c r="M51" s="22">
        <v>2742.9140000000002</v>
      </c>
      <c r="N51" s="20">
        <v>101.95</v>
      </c>
      <c r="O51" s="22">
        <v>18841.684000000001</v>
      </c>
      <c r="P51" s="1">
        <v>3</v>
      </c>
      <c r="Q51" s="22">
        <v>18844.684000000001</v>
      </c>
      <c r="R51" s="22">
        <v>4479499.6430000002</v>
      </c>
      <c r="S51" s="1">
        <v>6241</v>
      </c>
      <c r="T51" s="22">
        <v>4485740.6430000002</v>
      </c>
      <c r="U51" s="1">
        <v>645</v>
      </c>
      <c r="V51" s="1">
        <v>99</v>
      </c>
      <c r="W51" s="1">
        <v>744</v>
      </c>
      <c r="X51" s="1">
        <v>314</v>
      </c>
    </row>
    <row r="52" spans="1:24" x14ac:dyDescent="0.25">
      <c r="A52" s="1">
        <v>34</v>
      </c>
      <c r="B52" s="1">
        <v>1770</v>
      </c>
      <c r="C52" s="19">
        <v>127</v>
      </c>
      <c r="D52" s="19">
        <v>941.5</v>
      </c>
      <c r="E52" s="21">
        <v>0</v>
      </c>
      <c r="F52" s="21">
        <v>1.5</v>
      </c>
      <c r="G52" s="21">
        <v>0</v>
      </c>
      <c r="H52" s="21">
        <v>1.32</v>
      </c>
      <c r="I52" s="19">
        <v>10</v>
      </c>
      <c r="J52" s="19">
        <v>6.8</v>
      </c>
      <c r="K52" s="22">
        <v>5355.2219999999998</v>
      </c>
      <c r="L52" s="1">
        <v>0</v>
      </c>
      <c r="M52" s="22">
        <v>5355.2219999999998</v>
      </c>
      <c r="N52" s="20">
        <v>172.749</v>
      </c>
      <c r="O52" s="22">
        <v>29268.31</v>
      </c>
      <c r="P52" s="1">
        <v>24</v>
      </c>
      <c r="Q52" s="22">
        <v>29292.31</v>
      </c>
      <c r="R52" s="22">
        <v>5023504.8830000004</v>
      </c>
      <c r="S52" s="1">
        <v>2351</v>
      </c>
      <c r="T52" s="22">
        <v>5025855.8830000004</v>
      </c>
      <c r="U52" s="1">
        <v>744</v>
      </c>
      <c r="V52" s="1">
        <v>0</v>
      </c>
      <c r="W52" s="1">
        <v>744</v>
      </c>
      <c r="X52" s="1">
        <v>0</v>
      </c>
    </row>
    <row r="53" spans="1:24" x14ac:dyDescent="0.25">
      <c r="C53" s="19">
        <v>114</v>
      </c>
      <c r="D53" s="19">
        <v>1155.9000000000001</v>
      </c>
      <c r="E53" s="21"/>
      <c r="F53" s="21"/>
      <c r="G53" s="21"/>
      <c r="H53" s="21"/>
      <c r="I53" s="19"/>
      <c r="J53" s="19"/>
      <c r="K53" s="22"/>
      <c r="M53" s="22"/>
      <c r="N53" s="20"/>
      <c r="O53" s="22"/>
      <c r="Q53" s="22"/>
      <c r="R53" s="22"/>
      <c r="T53" s="22"/>
    </row>
    <row r="54" spans="1:24" x14ac:dyDescent="0.25">
      <c r="A54" s="1">
        <v>35</v>
      </c>
      <c r="B54" s="1">
        <v>1771</v>
      </c>
      <c r="C54" s="19">
        <v>168.3</v>
      </c>
      <c r="D54" s="19">
        <v>1159.7</v>
      </c>
      <c r="E54" s="21">
        <v>0</v>
      </c>
      <c r="F54" s="21">
        <v>1.4</v>
      </c>
      <c r="G54" s="21">
        <v>0</v>
      </c>
      <c r="H54" s="21">
        <v>1.32</v>
      </c>
      <c r="I54" s="19">
        <v>2</v>
      </c>
      <c r="J54" s="19">
        <v>6.8</v>
      </c>
      <c r="K54" s="22">
        <v>5750.2790000000005</v>
      </c>
      <c r="L54" s="1">
        <v>0</v>
      </c>
      <c r="M54" s="22">
        <v>5750.2790000000005</v>
      </c>
      <c r="N54" s="20">
        <v>185.49299999999999</v>
      </c>
      <c r="O54" s="22">
        <v>31438.133999999998</v>
      </c>
      <c r="P54" s="1">
        <v>33</v>
      </c>
      <c r="Q54" s="22">
        <v>31471.133999999998</v>
      </c>
      <c r="R54" s="22">
        <v>8784603.7249999996</v>
      </c>
      <c r="S54" s="1">
        <v>5404</v>
      </c>
      <c r="T54" s="22">
        <v>8790007.7249999996</v>
      </c>
      <c r="U54" s="1">
        <v>744</v>
      </c>
      <c r="V54" s="1">
        <v>0</v>
      </c>
      <c r="W54" s="1">
        <v>744</v>
      </c>
      <c r="X54" s="1">
        <v>0</v>
      </c>
    </row>
    <row r="55" spans="1:24" x14ac:dyDescent="0.25">
      <c r="A55" s="1">
        <v>36</v>
      </c>
      <c r="B55" s="1">
        <v>1780</v>
      </c>
      <c r="C55" s="19">
        <v>168.3</v>
      </c>
      <c r="D55" s="19">
        <v>1184.7</v>
      </c>
      <c r="E55" s="21">
        <v>0</v>
      </c>
      <c r="F55" s="21">
        <v>1.6</v>
      </c>
      <c r="G55" s="21">
        <v>0</v>
      </c>
      <c r="H55" s="21">
        <v>1.32</v>
      </c>
      <c r="I55" s="19">
        <v>14</v>
      </c>
      <c r="J55" s="19">
        <v>8.8000000000000007</v>
      </c>
      <c r="K55" s="22">
        <v>4565.107</v>
      </c>
      <c r="L55" s="1">
        <v>0</v>
      </c>
      <c r="M55" s="22">
        <v>4565.107</v>
      </c>
      <c r="N55" s="20">
        <v>147.262</v>
      </c>
      <c r="O55" s="22">
        <v>25450.33</v>
      </c>
      <c r="P55" s="1">
        <v>0</v>
      </c>
      <c r="Q55" s="22">
        <v>25450.33</v>
      </c>
      <c r="R55" s="22">
        <v>6372319.4129999997</v>
      </c>
      <c r="S55" s="1">
        <v>5314</v>
      </c>
      <c r="T55" s="22">
        <v>6377633.4129999997</v>
      </c>
      <c r="U55" s="1">
        <v>744</v>
      </c>
      <c r="V55" s="1">
        <v>0</v>
      </c>
      <c r="W55" s="1">
        <v>744</v>
      </c>
      <c r="X55" s="1">
        <v>0</v>
      </c>
    </row>
    <row r="56" spans="1:24" x14ac:dyDescent="0.25">
      <c r="A56" s="1">
        <v>37</v>
      </c>
      <c r="B56" s="1">
        <v>1781</v>
      </c>
      <c r="C56" s="19">
        <v>168.3</v>
      </c>
      <c r="D56" s="19">
        <v>1188.9000000000001</v>
      </c>
      <c r="E56" s="21">
        <v>0</v>
      </c>
      <c r="F56" s="21">
        <v>1.6</v>
      </c>
      <c r="G56" s="21">
        <v>0</v>
      </c>
      <c r="H56" s="21">
        <v>1.32</v>
      </c>
      <c r="I56" s="19">
        <v>13</v>
      </c>
      <c r="J56" s="19">
        <v>8.8000000000000007</v>
      </c>
      <c r="K56" s="22">
        <v>4433.4219999999996</v>
      </c>
      <c r="L56" s="1">
        <v>0</v>
      </c>
      <c r="M56" s="22">
        <v>4433.4219999999996</v>
      </c>
      <c r="N56" s="20">
        <v>143.01400000000001</v>
      </c>
      <c r="O56" s="22">
        <v>25882.170999999998</v>
      </c>
      <c r="P56" s="1">
        <v>24</v>
      </c>
      <c r="Q56" s="22">
        <v>25906.170999999998</v>
      </c>
      <c r="R56" s="22">
        <v>7633303.5060000001</v>
      </c>
      <c r="S56" s="1">
        <v>3988</v>
      </c>
      <c r="T56" s="22">
        <v>7637291.5060000001</v>
      </c>
      <c r="U56" s="1">
        <v>744</v>
      </c>
      <c r="V56" s="1">
        <v>0</v>
      </c>
      <c r="W56" s="1">
        <v>744</v>
      </c>
      <c r="X56" s="1">
        <v>0</v>
      </c>
    </row>
    <row r="57" spans="1:24" x14ac:dyDescent="0.25">
      <c r="A57" s="1">
        <v>38</v>
      </c>
      <c r="B57" s="1">
        <v>1782</v>
      </c>
      <c r="C57" s="19">
        <v>127</v>
      </c>
      <c r="D57" s="19">
        <v>1181.2</v>
      </c>
      <c r="E57" s="21">
        <v>0</v>
      </c>
      <c r="F57" s="21">
        <v>1.6</v>
      </c>
      <c r="G57" s="21">
        <v>0</v>
      </c>
      <c r="H57" s="21">
        <v>1.32</v>
      </c>
      <c r="I57" s="19">
        <v>15</v>
      </c>
      <c r="J57" s="19">
        <v>8.8000000000000007</v>
      </c>
      <c r="K57" s="22">
        <v>3511.6210000000001</v>
      </c>
      <c r="L57" s="1">
        <v>0</v>
      </c>
      <c r="M57" s="22">
        <v>3511.6210000000001</v>
      </c>
      <c r="N57" s="20">
        <v>113.27800000000001</v>
      </c>
      <c r="O57" s="22">
        <v>20975.583999999999</v>
      </c>
      <c r="P57" s="1">
        <v>16</v>
      </c>
      <c r="Q57" s="22">
        <v>20991.583999999999</v>
      </c>
      <c r="R57" s="22">
        <v>5482551.7659999998</v>
      </c>
      <c r="S57" s="1">
        <v>5200</v>
      </c>
      <c r="T57" s="22">
        <v>5487751.7659999998</v>
      </c>
      <c r="U57" s="1">
        <v>744</v>
      </c>
      <c r="V57" s="1">
        <v>0</v>
      </c>
      <c r="W57" s="1">
        <v>744</v>
      </c>
      <c r="X57" s="1">
        <v>0</v>
      </c>
    </row>
    <row r="58" spans="1:24" x14ac:dyDescent="0.25">
      <c r="A58" s="1">
        <v>39</v>
      </c>
      <c r="B58" s="1">
        <v>1790</v>
      </c>
      <c r="C58" s="19">
        <v>101.6</v>
      </c>
      <c r="D58" s="19">
        <v>1143.8</v>
      </c>
      <c r="E58" s="21">
        <v>0</v>
      </c>
      <c r="F58" s="21">
        <v>1.42</v>
      </c>
      <c r="G58" s="21">
        <v>0</v>
      </c>
      <c r="H58" s="21">
        <v>1.31</v>
      </c>
      <c r="I58" s="19">
        <v>10</v>
      </c>
      <c r="J58" s="19">
        <v>6.5</v>
      </c>
      <c r="K58" s="22">
        <v>3028.7730000000001</v>
      </c>
      <c r="L58" s="1">
        <v>0</v>
      </c>
      <c r="M58" s="22">
        <v>3028.7730000000001</v>
      </c>
      <c r="N58" s="20">
        <v>97.701999999999998</v>
      </c>
      <c r="O58" s="22">
        <v>18315.21</v>
      </c>
      <c r="P58" s="1">
        <v>0</v>
      </c>
      <c r="Q58" s="22">
        <v>18315.21</v>
      </c>
      <c r="R58" s="22">
        <v>5120507.4170000004</v>
      </c>
      <c r="S58" s="1">
        <v>5419</v>
      </c>
      <c r="T58" s="22">
        <v>5125926.4170000004</v>
      </c>
      <c r="U58" s="1">
        <v>744</v>
      </c>
      <c r="V58" s="1">
        <v>0</v>
      </c>
      <c r="W58" s="1">
        <v>744</v>
      </c>
      <c r="X58" s="1">
        <v>0</v>
      </c>
    </row>
    <row r="59" spans="1:24" x14ac:dyDescent="0.25">
      <c r="A59" s="1">
        <v>40</v>
      </c>
      <c r="B59" s="1">
        <v>1791</v>
      </c>
      <c r="C59" s="19">
        <v>168.3</v>
      </c>
      <c r="D59" s="19">
        <v>1224.3</v>
      </c>
      <c r="E59" s="21">
        <v>0</v>
      </c>
      <c r="F59" s="21">
        <v>1.42</v>
      </c>
      <c r="G59" s="21">
        <v>0</v>
      </c>
      <c r="H59" s="21">
        <v>1.31</v>
      </c>
      <c r="I59" s="19">
        <v>5</v>
      </c>
      <c r="J59" s="19">
        <v>6.5</v>
      </c>
      <c r="K59" s="22">
        <v>4170.05</v>
      </c>
      <c r="L59" s="1">
        <v>0</v>
      </c>
      <c r="M59" s="22">
        <v>4170.05</v>
      </c>
      <c r="N59" s="20">
        <v>134.518</v>
      </c>
      <c r="O59" s="22">
        <v>25144.382000000001</v>
      </c>
      <c r="P59" s="1">
        <v>34</v>
      </c>
      <c r="Q59" s="22">
        <v>25178.382000000001</v>
      </c>
      <c r="R59" s="22">
        <v>4686253.3090000004</v>
      </c>
      <c r="S59" s="1">
        <v>4029</v>
      </c>
      <c r="T59" s="22">
        <v>4690282.3090000004</v>
      </c>
      <c r="U59" s="1">
        <v>744</v>
      </c>
      <c r="V59" s="1">
        <v>0</v>
      </c>
      <c r="W59" s="1">
        <v>744</v>
      </c>
      <c r="X59" s="1">
        <v>0</v>
      </c>
    </row>
    <row r="60" spans="1:24" x14ac:dyDescent="0.25">
      <c r="A60" s="1">
        <v>41</v>
      </c>
      <c r="B60" s="1">
        <v>1792</v>
      </c>
      <c r="C60" s="19">
        <v>168.3</v>
      </c>
      <c r="D60" s="19">
        <v>1189.9000000000001</v>
      </c>
      <c r="E60" s="21">
        <v>0</v>
      </c>
      <c r="F60" s="21">
        <v>1.42</v>
      </c>
      <c r="G60" s="21">
        <v>0</v>
      </c>
      <c r="H60" s="21">
        <v>1.31</v>
      </c>
      <c r="I60" s="19">
        <v>5</v>
      </c>
      <c r="J60" s="19">
        <v>6.5</v>
      </c>
      <c r="K60" s="22">
        <v>2545.9250000000002</v>
      </c>
      <c r="L60" s="1">
        <v>0</v>
      </c>
      <c r="M60" s="22">
        <v>2545.9250000000002</v>
      </c>
      <c r="N60" s="20">
        <v>82.126999999999995</v>
      </c>
      <c r="O60" s="22">
        <v>15297.558999999999</v>
      </c>
      <c r="P60" s="1">
        <v>2</v>
      </c>
      <c r="Q60" s="22">
        <v>15299.558999999999</v>
      </c>
      <c r="R60" s="22">
        <v>5622885.4280000003</v>
      </c>
      <c r="S60" s="1">
        <v>3611</v>
      </c>
      <c r="T60" s="22">
        <v>5626496.4280000003</v>
      </c>
      <c r="U60" s="1">
        <v>744</v>
      </c>
      <c r="V60" s="1">
        <v>0</v>
      </c>
      <c r="W60" s="1">
        <v>744</v>
      </c>
      <c r="X60" s="1">
        <v>0</v>
      </c>
    </row>
    <row r="61" spans="1:24" x14ac:dyDescent="0.25">
      <c r="A61" s="1">
        <v>42</v>
      </c>
      <c r="B61" s="1">
        <v>1800</v>
      </c>
      <c r="C61" s="19">
        <v>168.3</v>
      </c>
      <c r="D61" s="19">
        <v>1203.4000000000001</v>
      </c>
      <c r="E61" s="21">
        <v>0</v>
      </c>
      <c r="F61" s="21">
        <v>1.4</v>
      </c>
      <c r="G61" s="21">
        <v>0</v>
      </c>
      <c r="H61" s="21">
        <v>1.32</v>
      </c>
      <c r="I61" s="19">
        <v>17</v>
      </c>
      <c r="J61" s="19">
        <v>6.8</v>
      </c>
      <c r="K61" s="22">
        <v>5047.9549999999999</v>
      </c>
      <c r="L61" s="1">
        <v>3</v>
      </c>
      <c r="M61" s="22">
        <v>5050.9549999999999</v>
      </c>
      <c r="N61" s="20">
        <v>162.83699999999999</v>
      </c>
      <c r="O61" s="22">
        <v>33285.722000000002</v>
      </c>
      <c r="P61" s="1">
        <v>18</v>
      </c>
      <c r="Q61" s="22">
        <v>33303.722000000002</v>
      </c>
      <c r="R61" s="22">
        <v>6864966.1220000004</v>
      </c>
      <c r="S61" s="1">
        <v>5211</v>
      </c>
      <c r="T61" s="22">
        <v>6870177.1220000004</v>
      </c>
      <c r="U61" s="1">
        <v>744</v>
      </c>
      <c r="V61" s="1">
        <v>0</v>
      </c>
      <c r="W61" s="1">
        <v>744</v>
      </c>
      <c r="X61" s="1">
        <v>0</v>
      </c>
    </row>
    <row r="62" spans="1:24" x14ac:dyDescent="0.25">
      <c r="A62" s="1">
        <v>43</v>
      </c>
      <c r="B62" s="1">
        <v>1801</v>
      </c>
      <c r="C62" s="19">
        <v>168.3</v>
      </c>
      <c r="D62" s="19">
        <v>1153</v>
      </c>
      <c r="E62" s="21">
        <v>0</v>
      </c>
      <c r="F62" s="21">
        <v>1.4</v>
      </c>
      <c r="G62" s="21">
        <v>0</v>
      </c>
      <c r="H62" s="21">
        <v>1.32</v>
      </c>
      <c r="I62" s="19">
        <v>13</v>
      </c>
      <c r="J62" s="19">
        <v>6.8</v>
      </c>
      <c r="K62" s="22">
        <v>6496.4989999999998</v>
      </c>
      <c r="L62" s="1">
        <v>0</v>
      </c>
      <c r="M62" s="22">
        <v>6496.4989999999998</v>
      </c>
      <c r="N62" s="20">
        <v>209.56399999999999</v>
      </c>
      <c r="O62" s="22">
        <v>36182.006000000001</v>
      </c>
      <c r="P62" s="1">
        <v>16</v>
      </c>
      <c r="Q62" s="22">
        <v>36198.006000000001</v>
      </c>
      <c r="R62" s="22">
        <v>5868075.1160000004</v>
      </c>
      <c r="S62" s="1">
        <v>4042</v>
      </c>
      <c r="T62" s="22">
        <v>5872117.1160000004</v>
      </c>
      <c r="U62" s="1">
        <v>744</v>
      </c>
      <c r="V62" s="1">
        <v>0</v>
      </c>
      <c r="W62" s="1">
        <v>744</v>
      </c>
      <c r="X62" s="1">
        <v>0</v>
      </c>
    </row>
    <row r="63" spans="1:24" x14ac:dyDescent="0.25">
      <c r="A63" s="1">
        <v>44</v>
      </c>
      <c r="B63" s="1">
        <v>1802</v>
      </c>
      <c r="C63" s="19">
        <v>168.3</v>
      </c>
      <c r="D63" s="19">
        <v>1178.8</v>
      </c>
      <c r="E63" s="21">
        <v>0</v>
      </c>
      <c r="F63" s="21">
        <v>1.5</v>
      </c>
      <c r="G63" s="21">
        <v>0</v>
      </c>
      <c r="H63" s="21">
        <v>1.32</v>
      </c>
      <c r="I63" s="19">
        <v>13</v>
      </c>
      <c r="J63" s="19">
        <v>6.8</v>
      </c>
      <c r="K63" s="22">
        <v>5925.86</v>
      </c>
      <c r="L63" s="1">
        <v>3</v>
      </c>
      <c r="M63" s="22">
        <v>5928.86</v>
      </c>
      <c r="N63" s="20">
        <v>191.15700000000001</v>
      </c>
      <c r="O63" s="22">
        <v>31490.112000000001</v>
      </c>
      <c r="P63" s="1">
        <v>36</v>
      </c>
      <c r="Q63" s="22">
        <v>31526.112000000001</v>
      </c>
      <c r="R63" s="22">
        <v>5836860.4639999997</v>
      </c>
      <c r="S63" s="1">
        <v>7463</v>
      </c>
      <c r="T63" s="22">
        <v>5844323.4639999997</v>
      </c>
      <c r="U63" s="1">
        <v>744</v>
      </c>
      <c r="V63" s="1">
        <v>0</v>
      </c>
      <c r="W63" s="1">
        <v>744</v>
      </c>
      <c r="X63" s="1">
        <v>0</v>
      </c>
    </row>
    <row r="64" spans="1:24" x14ac:dyDescent="0.25">
      <c r="A64" s="1">
        <v>45</v>
      </c>
      <c r="B64" s="1">
        <v>1810</v>
      </c>
      <c r="C64" s="19">
        <v>168.3</v>
      </c>
      <c r="D64" s="19">
        <v>1183.8</v>
      </c>
      <c r="E64" s="21">
        <v>0</v>
      </c>
      <c r="F64" s="21">
        <v>1.45</v>
      </c>
      <c r="G64" s="21">
        <v>0</v>
      </c>
      <c r="H64" s="21">
        <v>1.31</v>
      </c>
      <c r="I64" s="19">
        <v>18</v>
      </c>
      <c r="J64" s="19">
        <v>6.5</v>
      </c>
      <c r="K64" s="22">
        <v>8603.4719999999998</v>
      </c>
      <c r="L64" s="1">
        <v>3</v>
      </c>
      <c r="M64" s="22">
        <v>8606.4719999999998</v>
      </c>
      <c r="N64" s="20">
        <v>277.53100000000001</v>
      </c>
      <c r="O64" s="22">
        <v>52686.635000000002</v>
      </c>
      <c r="P64" s="1">
        <v>3</v>
      </c>
      <c r="Q64" s="22">
        <v>52689.635000000002</v>
      </c>
      <c r="R64" s="22">
        <v>8529791.2990000006</v>
      </c>
      <c r="S64" s="1">
        <v>4254</v>
      </c>
      <c r="T64" s="22">
        <v>8534045.2990000006</v>
      </c>
      <c r="U64" s="1">
        <v>744</v>
      </c>
      <c r="V64" s="1">
        <v>0</v>
      </c>
      <c r="W64" s="1">
        <v>744</v>
      </c>
      <c r="X64" s="1">
        <v>0</v>
      </c>
    </row>
    <row r="65" spans="1:24" x14ac:dyDescent="0.25">
      <c r="A65" s="1">
        <v>46</v>
      </c>
      <c r="B65" s="1">
        <v>1811</v>
      </c>
      <c r="C65" s="19">
        <v>168.3</v>
      </c>
      <c r="D65" s="19">
        <v>1214.7</v>
      </c>
      <c r="E65" s="21">
        <v>0</v>
      </c>
      <c r="F65" s="21">
        <v>1.46</v>
      </c>
      <c r="G65" s="21">
        <v>0</v>
      </c>
      <c r="H65" s="21">
        <v>1.31</v>
      </c>
      <c r="I65" s="19">
        <v>8</v>
      </c>
      <c r="J65" s="19">
        <v>6.5</v>
      </c>
      <c r="K65" s="22">
        <v>3331.556</v>
      </c>
      <c r="L65" s="1">
        <v>5</v>
      </c>
      <c r="M65" s="22">
        <v>3336.556</v>
      </c>
      <c r="N65" s="20">
        <v>107.614</v>
      </c>
      <c r="O65" s="22">
        <v>20175.541000000001</v>
      </c>
      <c r="P65" s="1">
        <v>24</v>
      </c>
      <c r="Q65" s="22">
        <v>20199.541000000001</v>
      </c>
      <c r="R65" s="22">
        <v>8242092.8640000001</v>
      </c>
      <c r="S65" s="1">
        <v>5217</v>
      </c>
      <c r="T65" s="22">
        <v>8247309.8640000001</v>
      </c>
      <c r="U65" s="1">
        <v>743</v>
      </c>
      <c r="V65" s="1">
        <v>1</v>
      </c>
      <c r="W65" s="1">
        <v>744</v>
      </c>
      <c r="X65" s="1">
        <v>341</v>
      </c>
    </row>
    <row r="66" spans="1:24" x14ac:dyDescent="0.25">
      <c r="A66" s="1">
        <v>47</v>
      </c>
      <c r="B66" s="1">
        <v>1812</v>
      </c>
      <c r="C66" s="19">
        <v>168.3</v>
      </c>
      <c r="D66" s="19">
        <v>1154.2</v>
      </c>
      <c r="E66" s="21">
        <v>0</v>
      </c>
      <c r="F66" s="21">
        <v>1.5</v>
      </c>
      <c r="G66" s="21">
        <v>0</v>
      </c>
      <c r="H66" s="21">
        <v>1.31</v>
      </c>
      <c r="I66" s="19">
        <v>16</v>
      </c>
      <c r="J66" s="19">
        <v>6.5</v>
      </c>
      <c r="K66" s="22">
        <v>7901.1480000000001</v>
      </c>
      <c r="L66" s="1">
        <v>0</v>
      </c>
      <c r="M66" s="22">
        <v>7901.1480000000001</v>
      </c>
      <c r="N66" s="20">
        <v>254.876</v>
      </c>
      <c r="O66" s="22">
        <v>48451.391000000003</v>
      </c>
      <c r="P66" s="1">
        <v>0</v>
      </c>
      <c r="Q66" s="22">
        <v>48451.391000000003</v>
      </c>
      <c r="R66" s="22">
        <v>8755641.2349999994</v>
      </c>
      <c r="S66" s="1">
        <v>4987</v>
      </c>
      <c r="T66" s="22">
        <v>8760628.2349999994</v>
      </c>
      <c r="U66" s="1">
        <v>744</v>
      </c>
      <c r="V66" s="1">
        <v>0</v>
      </c>
      <c r="W66" s="1">
        <v>744</v>
      </c>
      <c r="X66" s="1">
        <v>0</v>
      </c>
    </row>
    <row r="67" spans="1:24" x14ac:dyDescent="0.25">
      <c r="A67" s="1">
        <v>48</v>
      </c>
      <c r="B67" s="1">
        <v>1820</v>
      </c>
      <c r="C67" s="19">
        <v>168.3</v>
      </c>
      <c r="D67" s="19">
        <v>1201.8</v>
      </c>
      <c r="E67" s="21">
        <v>0</v>
      </c>
      <c r="F67" s="21">
        <v>1.45</v>
      </c>
      <c r="G67" s="21">
        <v>0</v>
      </c>
      <c r="H67" s="21">
        <v>1.31</v>
      </c>
      <c r="I67" s="19">
        <v>11</v>
      </c>
      <c r="J67" s="19">
        <v>4.8</v>
      </c>
      <c r="K67" s="22">
        <v>6189.232</v>
      </c>
      <c r="L67" s="1">
        <v>0</v>
      </c>
      <c r="M67" s="22">
        <v>6189.232</v>
      </c>
      <c r="N67" s="20">
        <v>199.65299999999999</v>
      </c>
      <c r="O67" s="22">
        <v>40196.677000000003</v>
      </c>
      <c r="P67" s="1">
        <v>18</v>
      </c>
      <c r="Q67" s="22">
        <v>40214.677000000003</v>
      </c>
      <c r="R67" s="22">
        <v>6219746.4409999996</v>
      </c>
      <c r="S67" s="1">
        <v>3626</v>
      </c>
      <c r="T67" s="22">
        <v>6223372.4409999996</v>
      </c>
      <c r="U67" s="1">
        <v>744</v>
      </c>
      <c r="V67" s="1">
        <v>0</v>
      </c>
      <c r="W67" s="1">
        <v>744</v>
      </c>
      <c r="X67" s="1">
        <v>0</v>
      </c>
    </row>
    <row r="68" spans="1:24" x14ac:dyDescent="0.25">
      <c r="A68" s="1">
        <v>49</v>
      </c>
      <c r="B68" s="1">
        <v>1821</v>
      </c>
      <c r="C68" s="19">
        <v>168.3</v>
      </c>
      <c r="D68" s="19">
        <v>1164.7</v>
      </c>
      <c r="E68" s="21">
        <v>0</v>
      </c>
      <c r="F68" s="21">
        <v>1.45</v>
      </c>
      <c r="G68" s="21">
        <v>0</v>
      </c>
      <c r="H68" s="21">
        <v>1.31</v>
      </c>
      <c r="I68" s="19">
        <v>11</v>
      </c>
      <c r="J68" s="19">
        <v>4.8</v>
      </c>
      <c r="K68" s="22">
        <v>5486.9080000000004</v>
      </c>
      <c r="L68" s="1">
        <v>0</v>
      </c>
      <c r="M68" s="22">
        <v>5486.9080000000004</v>
      </c>
      <c r="N68" s="20">
        <v>176.99700000000001</v>
      </c>
      <c r="O68" s="22">
        <v>30457.797999999999</v>
      </c>
      <c r="P68" s="1">
        <v>3</v>
      </c>
      <c r="Q68" s="22">
        <v>30460.797999999999</v>
      </c>
      <c r="R68" s="22">
        <v>5603235.0379999997</v>
      </c>
      <c r="S68" s="1">
        <v>5733</v>
      </c>
      <c r="T68" s="22">
        <v>5608968.0379999997</v>
      </c>
      <c r="U68" s="1">
        <v>744</v>
      </c>
      <c r="V68" s="1">
        <v>0</v>
      </c>
      <c r="W68" s="1">
        <v>744</v>
      </c>
      <c r="X68" s="1">
        <v>0</v>
      </c>
    </row>
    <row r="69" spans="1:24" x14ac:dyDescent="0.25">
      <c r="A69" s="1">
        <v>50</v>
      </c>
      <c r="B69" s="1">
        <v>1822</v>
      </c>
      <c r="C69" s="19">
        <v>168.3</v>
      </c>
      <c r="D69" s="19">
        <v>1202.19</v>
      </c>
      <c r="E69" s="21">
        <v>0</v>
      </c>
      <c r="F69" s="21">
        <v>1.45</v>
      </c>
      <c r="G69" s="21">
        <v>0</v>
      </c>
      <c r="H69" s="21">
        <v>1.31</v>
      </c>
      <c r="I69" s="19">
        <v>5</v>
      </c>
      <c r="J69" s="19">
        <v>4.8</v>
      </c>
      <c r="K69" s="22">
        <v>2106.973</v>
      </c>
      <c r="L69" s="1">
        <v>0</v>
      </c>
      <c r="M69" s="22">
        <v>2106.973</v>
      </c>
      <c r="N69" s="20">
        <v>67.966999999999999</v>
      </c>
      <c r="O69" s="22">
        <v>11710.358</v>
      </c>
      <c r="P69" s="1">
        <v>0</v>
      </c>
      <c r="Q69" s="22">
        <v>11710.358</v>
      </c>
      <c r="R69" s="22">
        <v>5051902.7249999996</v>
      </c>
      <c r="S69" s="1">
        <v>3934</v>
      </c>
      <c r="T69" s="22">
        <v>5055836.7249999996</v>
      </c>
      <c r="U69" s="1">
        <v>744</v>
      </c>
      <c r="V69" s="1">
        <v>0</v>
      </c>
      <c r="W69" s="1">
        <v>744</v>
      </c>
      <c r="X69" s="1">
        <v>0</v>
      </c>
    </row>
    <row r="70" spans="1:24" x14ac:dyDescent="0.25">
      <c r="A70" s="1">
        <v>51</v>
      </c>
      <c r="B70" s="1">
        <v>1830</v>
      </c>
      <c r="C70" s="19">
        <v>168.3</v>
      </c>
      <c r="D70" s="19">
        <v>1181.3</v>
      </c>
      <c r="E70" s="21">
        <v>0</v>
      </c>
      <c r="F70" s="21">
        <v>1.45</v>
      </c>
      <c r="G70" s="21">
        <v>0</v>
      </c>
      <c r="H70" s="21">
        <v>1.32</v>
      </c>
      <c r="I70" s="19">
        <v>6</v>
      </c>
      <c r="J70" s="19">
        <v>8.8000000000000007</v>
      </c>
      <c r="K70" s="22">
        <v>4352.7110000000002</v>
      </c>
      <c r="L70" s="1">
        <v>0</v>
      </c>
      <c r="M70" s="22">
        <v>4352.7110000000002</v>
      </c>
      <c r="N70" s="20">
        <v>150.09299999999999</v>
      </c>
      <c r="O70" s="22">
        <v>25654.017</v>
      </c>
      <c r="P70" s="1">
        <v>7</v>
      </c>
      <c r="Q70" s="22">
        <v>25661.017</v>
      </c>
      <c r="R70" s="22">
        <v>5860509.5460000001</v>
      </c>
      <c r="S70" s="1">
        <v>4845</v>
      </c>
      <c r="T70" s="22">
        <v>5865354.5460000001</v>
      </c>
      <c r="U70" s="1">
        <v>696</v>
      </c>
      <c r="V70" s="1">
        <v>48</v>
      </c>
      <c r="W70" s="1">
        <v>744</v>
      </c>
      <c r="X70" s="1">
        <v>314</v>
      </c>
    </row>
    <row r="71" spans="1:24" x14ac:dyDescent="0.25">
      <c r="A71" s="1">
        <v>52</v>
      </c>
      <c r="B71" s="1">
        <v>1831</v>
      </c>
      <c r="C71" s="19">
        <v>168.3</v>
      </c>
      <c r="D71" s="19">
        <v>1166.2</v>
      </c>
      <c r="E71" s="21">
        <v>0</v>
      </c>
      <c r="F71" s="21">
        <v>1.46</v>
      </c>
      <c r="G71" s="21">
        <v>0</v>
      </c>
      <c r="H71" s="21">
        <v>1.32</v>
      </c>
      <c r="I71" s="19">
        <v>9</v>
      </c>
      <c r="J71" s="19">
        <v>8.8000000000000007</v>
      </c>
      <c r="K71" s="22">
        <v>4521.2120000000004</v>
      </c>
      <c r="L71" s="1">
        <v>0</v>
      </c>
      <c r="M71" s="22">
        <v>4521.2120000000004</v>
      </c>
      <c r="N71" s="20">
        <v>145.846</v>
      </c>
      <c r="O71" s="22">
        <v>25276.794999999998</v>
      </c>
      <c r="P71" s="1">
        <v>3</v>
      </c>
      <c r="Q71" s="22">
        <v>25279.794999999998</v>
      </c>
      <c r="R71" s="22">
        <v>6566894.176</v>
      </c>
      <c r="S71" s="1">
        <v>5972</v>
      </c>
      <c r="T71" s="22">
        <v>6572866.176</v>
      </c>
      <c r="U71" s="1">
        <v>744</v>
      </c>
      <c r="V71" s="1">
        <v>0</v>
      </c>
      <c r="W71" s="1">
        <v>744</v>
      </c>
      <c r="X71" s="1">
        <v>0</v>
      </c>
    </row>
    <row r="72" spans="1:24" x14ac:dyDescent="0.25">
      <c r="A72" s="1">
        <v>53</v>
      </c>
      <c r="B72" s="1">
        <v>1832</v>
      </c>
      <c r="C72" s="19">
        <v>168</v>
      </c>
      <c r="D72" s="19">
        <v>1175.27</v>
      </c>
      <c r="E72" s="21">
        <v>1.6</v>
      </c>
      <c r="F72" s="21">
        <v>1.45</v>
      </c>
      <c r="G72" s="21">
        <v>0</v>
      </c>
      <c r="H72" s="21">
        <v>1.32</v>
      </c>
      <c r="I72" s="19">
        <v>8</v>
      </c>
      <c r="J72" s="19">
        <v>8.8000000000000007</v>
      </c>
      <c r="K72" s="22">
        <v>4257.84</v>
      </c>
      <c r="L72" s="1">
        <v>0</v>
      </c>
      <c r="M72" s="22">
        <v>4257.84</v>
      </c>
      <c r="N72" s="20">
        <v>137.35</v>
      </c>
      <c r="O72" s="22">
        <v>18473.600999999999</v>
      </c>
      <c r="P72" s="1">
        <v>26</v>
      </c>
      <c r="Q72" s="22">
        <v>18499.600999999999</v>
      </c>
      <c r="R72" s="22">
        <v>4500535.0810000002</v>
      </c>
      <c r="S72" s="1">
        <v>7518</v>
      </c>
      <c r="T72" s="22">
        <v>4508053.0810000002</v>
      </c>
      <c r="U72" s="1">
        <v>744</v>
      </c>
      <c r="V72" s="1">
        <v>0</v>
      </c>
      <c r="W72" s="1">
        <v>744</v>
      </c>
      <c r="X72" s="1">
        <v>0</v>
      </c>
    </row>
    <row r="73" spans="1:24" x14ac:dyDescent="0.25">
      <c r="A73" s="1">
        <v>54</v>
      </c>
      <c r="B73" s="1">
        <v>1840</v>
      </c>
      <c r="C73" s="19">
        <v>168.3</v>
      </c>
      <c r="D73" s="19">
        <v>1210.3</v>
      </c>
      <c r="E73" s="21">
        <v>0</v>
      </c>
      <c r="F73" s="21">
        <v>1.5</v>
      </c>
      <c r="G73" s="21">
        <v>0</v>
      </c>
      <c r="H73" s="21">
        <v>1.33</v>
      </c>
      <c r="I73" s="19">
        <v>17</v>
      </c>
      <c r="J73" s="19">
        <v>3.6</v>
      </c>
      <c r="K73" s="22">
        <v>8735.1569999999992</v>
      </c>
      <c r="L73" s="1">
        <v>0</v>
      </c>
      <c r="M73" s="22">
        <v>8735.1569999999992</v>
      </c>
      <c r="N73" s="20">
        <v>281.779</v>
      </c>
      <c r="O73" s="22">
        <v>62403.82</v>
      </c>
      <c r="P73" s="1">
        <v>30</v>
      </c>
      <c r="Q73" s="22">
        <v>62433.82</v>
      </c>
      <c r="R73" s="22">
        <v>8539096.2050000001</v>
      </c>
      <c r="S73" s="1">
        <v>4574</v>
      </c>
      <c r="T73" s="22">
        <v>8543670.2050000001</v>
      </c>
      <c r="U73" s="1">
        <v>744</v>
      </c>
      <c r="V73" s="1">
        <v>0</v>
      </c>
      <c r="W73" s="1">
        <v>744</v>
      </c>
      <c r="X73" s="1">
        <v>0</v>
      </c>
    </row>
    <row r="74" spans="1:24" x14ac:dyDescent="0.25">
      <c r="A74" s="1">
        <v>55</v>
      </c>
      <c r="B74" s="1">
        <v>1841</v>
      </c>
      <c r="C74" s="19">
        <v>168.3</v>
      </c>
      <c r="D74" s="19">
        <v>1174.0999999999999</v>
      </c>
      <c r="E74" s="21">
        <v>0</v>
      </c>
      <c r="F74" s="21">
        <v>1.5</v>
      </c>
      <c r="G74" s="21">
        <v>0</v>
      </c>
      <c r="H74" s="21">
        <v>1.33</v>
      </c>
      <c r="I74" s="19">
        <v>13</v>
      </c>
      <c r="J74" s="19">
        <v>3.6</v>
      </c>
      <c r="K74" s="22">
        <v>8735.1569999999992</v>
      </c>
      <c r="L74" s="1">
        <v>0</v>
      </c>
      <c r="M74" s="22">
        <v>8735.1569999999992</v>
      </c>
      <c r="N74" s="20">
        <v>281.779</v>
      </c>
      <c r="O74" s="22">
        <v>55007.875999999997</v>
      </c>
      <c r="P74" s="1">
        <v>3</v>
      </c>
      <c r="Q74" s="22">
        <v>55010.875999999997</v>
      </c>
      <c r="R74" s="22">
        <v>5620063.693</v>
      </c>
      <c r="S74" s="1">
        <v>5863</v>
      </c>
      <c r="T74" s="22">
        <v>5625926.693</v>
      </c>
      <c r="U74" s="1">
        <v>744</v>
      </c>
      <c r="V74" s="1">
        <v>0</v>
      </c>
      <c r="W74" s="1">
        <v>744</v>
      </c>
      <c r="X74" s="1">
        <v>0</v>
      </c>
    </row>
    <row r="75" spans="1:24" x14ac:dyDescent="0.25">
      <c r="A75" s="1">
        <v>56</v>
      </c>
      <c r="B75" s="1">
        <v>1842</v>
      </c>
      <c r="C75" s="19">
        <v>168.3</v>
      </c>
      <c r="D75" s="19">
        <v>1222.7</v>
      </c>
      <c r="E75" s="21">
        <v>0</v>
      </c>
      <c r="F75" s="21">
        <v>1.5</v>
      </c>
      <c r="G75" s="21">
        <v>0</v>
      </c>
      <c r="H75" s="21">
        <v>1.33</v>
      </c>
      <c r="I75" s="19">
        <v>11</v>
      </c>
      <c r="J75" s="19">
        <v>3.6</v>
      </c>
      <c r="K75" s="22">
        <v>6891.5569999999998</v>
      </c>
      <c r="L75" s="1">
        <v>0</v>
      </c>
      <c r="M75" s="22">
        <v>6891.5569999999998</v>
      </c>
      <c r="N75" s="20">
        <v>222.30799999999999</v>
      </c>
      <c r="O75" s="22">
        <v>42420.381999999998</v>
      </c>
      <c r="P75" s="1">
        <v>3</v>
      </c>
      <c r="Q75" s="22">
        <v>42423.381999999998</v>
      </c>
      <c r="R75" s="22">
        <v>5373218.0630000001</v>
      </c>
      <c r="S75" s="1">
        <v>3926</v>
      </c>
      <c r="T75" s="22">
        <v>5377144.0630000001</v>
      </c>
      <c r="U75" s="1">
        <v>744</v>
      </c>
      <c r="V75" s="1">
        <v>0</v>
      </c>
      <c r="W75" s="1">
        <v>744</v>
      </c>
      <c r="X75" s="1">
        <v>0</v>
      </c>
    </row>
    <row r="76" spans="1:24" x14ac:dyDescent="0.25">
      <c r="A76" s="1">
        <v>57</v>
      </c>
      <c r="B76" s="1">
        <v>1850</v>
      </c>
      <c r="C76" s="19">
        <v>168.3</v>
      </c>
      <c r="D76" s="19">
        <v>1160.4000000000001</v>
      </c>
      <c r="E76" s="21">
        <v>0</v>
      </c>
      <c r="F76" s="21">
        <v>1.42</v>
      </c>
      <c r="G76" s="21">
        <v>0</v>
      </c>
      <c r="H76" s="21">
        <v>1.31</v>
      </c>
      <c r="I76" s="19">
        <v>8</v>
      </c>
      <c r="J76" s="19">
        <v>6.5</v>
      </c>
      <c r="K76" s="22">
        <v>5618.5940000000001</v>
      </c>
      <c r="L76" s="1">
        <v>0</v>
      </c>
      <c r="M76" s="22">
        <v>5618.5940000000001</v>
      </c>
      <c r="N76" s="20">
        <v>181.245</v>
      </c>
      <c r="O76" s="22">
        <v>31772.741000000002</v>
      </c>
      <c r="P76" s="1">
        <v>33</v>
      </c>
      <c r="Q76" s="22">
        <v>31805.741000000002</v>
      </c>
      <c r="R76" s="22">
        <v>6710889.9859999996</v>
      </c>
      <c r="S76" s="1">
        <v>5867</v>
      </c>
      <c r="T76" s="22">
        <v>6716756.9859999996</v>
      </c>
      <c r="U76" s="1">
        <v>744</v>
      </c>
      <c r="V76" s="1">
        <v>0</v>
      </c>
      <c r="W76" s="1">
        <v>744</v>
      </c>
      <c r="X76" s="1">
        <v>0</v>
      </c>
    </row>
    <row r="77" spans="1:24" x14ac:dyDescent="0.25">
      <c r="A77" s="1">
        <v>58</v>
      </c>
      <c r="B77" s="1">
        <v>1851</v>
      </c>
      <c r="C77" s="19">
        <v>101.6</v>
      </c>
      <c r="D77" s="19">
        <v>1146.8</v>
      </c>
      <c r="E77" s="21">
        <v>0</v>
      </c>
      <c r="F77" s="21">
        <v>1.42</v>
      </c>
      <c r="G77" s="21">
        <v>0</v>
      </c>
      <c r="H77" s="21">
        <v>1.31</v>
      </c>
      <c r="I77" s="19">
        <v>6</v>
      </c>
      <c r="J77" s="19">
        <v>6.5</v>
      </c>
      <c r="K77" s="22">
        <v>3336.04</v>
      </c>
      <c r="L77" s="1">
        <v>0</v>
      </c>
      <c r="M77" s="22">
        <v>3336.04</v>
      </c>
      <c r="N77" s="20">
        <v>107.614</v>
      </c>
      <c r="O77" s="22">
        <v>20192.198</v>
      </c>
      <c r="P77" s="1">
        <v>3</v>
      </c>
      <c r="Q77" s="22">
        <v>20195.198</v>
      </c>
      <c r="R77" s="22">
        <v>4220892.5089999996</v>
      </c>
      <c r="S77" s="1">
        <v>5823</v>
      </c>
      <c r="T77" s="22">
        <v>4226715.5089999996</v>
      </c>
      <c r="U77" s="1">
        <v>744</v>
      </c>
      <c r="V77" s="1">
        <v>0</v>
      </c>
      <c r="W77" s="1">
        <v>744</v>
      </c>
      <c r="X77" s="1">
        <v>0</v>
      </c>
    </row>
    <row r="78" spans="1:24" x14ac:dyDescent="0.25">
      <c r="A78" s="1">
        <v>59</v>
      </c>
      <c r="B78" s="1">
        <v>1860</v>
      </c>
      <c r="C78" s="19">
        <v>114</v>
      </c>
      <c r="D78" s="19">
        <v>1189.9000000000001</v>
      </c>
      <c r="E78" s="21">
        <v>0</v>
      </c>
      <c r="F78" s="21">
        <v>1.4</v>
      </c>
      <c r="G78" s="21">
        <v>0</v>
      </c>
      <c r="H78" s="21">
        <v>1.32</v>
      </c>
      <c r="I78" s="19">
        <v>13</v>
      </c>
      <c r="J78" s="19">
        <v>3.2</v>
      </c>
      <c r="K78" s="22">
        <v>5223.5360000000001</v>
      </c>
      <c r="L78" s="1">
        <v>0</v>
      </c>
      <c r="M78" s="22">
        <v>5223.5360000000001</v>
      </c>
      <c r="N78" s="20">
        <v>168.501</v>
      </c>
      <c r="O78" s="22">
        <v>29216.161</v>
      </c>
      <c r="P78" s="1">
        <v>0</v>
      </c>
      <c r="Q78" s="22">
        <v>29216.161</v>
      </c>
      <c r="R78" s="22">
        <v>4976688.0439999998</v>
      </c>
      <c r="S78" s="1">
        <v>3481</v>
      </c>
      <c r="T78" s="22">
        <v>4980169.0439999998</v>
      </c>
      <c r="U78" s="1">
        <v>744</v>
      </c>
      <c r="V78" s="1">
        <v>0</v>
      </c>
      <c r="W78" s="1">
        <v>744</v>
      </c>
      <c r="X78" s="1">
        <v>0</v>
      </c>
    </row>
    <row r="79" spans="1:24" x14ac:dyDescent="0.25">
      <c r="A79" s="1">
        <v>60</v>
      </c>
      <c r="B79" s="1">
        <v>1861</v>
      </c>
      <c r="C79" s="19">
        <v>114</v>
      </c>
      <c r="D79" s="19">
        <v>1209.5</v>
      </c>
      <c r="E79" s="21">
        <v>0</v>
      </c>
      <c r="F79" s="21">
        <v>1.4</v>
      </c>
      <c r="G79" s="21">
        <v>0</v>
      </c>
      <c r="H79" s="21">
        <v>1.32</v>
      </c>
      <c r="I79" s="19">
        <v>12</v>
      </c>
      <c r="J79" s="19">
        <v>3.2</v>
      </c>
      <c r="K79" s="22">
        <v>5530.8029999999999</v>
      </c>
      <c r="L79" s="1">
        <v>0</v>
      </c>
      <c r="M79" s="22">
        <v>5530.8029999999999</v>
      </c>
      <c r="N79" s="20">
        <v>178.41300000000001</v>
      </c>
      <c r="O79" s="22">
        <v>30857.671999999999</v>
      </c>
      <c r="P79" s="1">
        <v>3</v>
      </c>
      <c r="Q79" s="22">
        <v>30860.671999999999</v>
      </c>
      <c r="R79" s="22">
        <v>5370817.6619999995</v>
      </c>
      <c r="S79" s="1">
        <v>4453</v>
      </c>
      <c r="T79" s="22">
        <v>5375270.6619999995</v>
      </c>
      <c r="U79" s="1">
        <v>744</v>
      </c>
      <c r="V79" s="1">
        <v>0</v>
      </c>
      <c r="W79" s="1">
        <v>744</v>
      </c>
      <c r="X79" s="1">
        <v>0</v>
      </c>
    </row>
    <row r="80" spans="1:24" x14ac:dyDescent="0.25">
      <c r="A80" s="1">
        <v>61</v>
      </c>
      <c r="B80" s="1">
        <v>1863</v>
      </c>
      <c r="C80" s="19">
        <v>168.3</v>
      </c>
      <c r="D80" s="19">
        <v>1184.5</v>
      </c>
      <c r="E80" s="21">
        <v>0</v>
      </c>
      <c r="F80" s="21">
        <v>1.4</v>
      </c>
      <c r="G80" s="21">
        <v>0</v>
      </c>
      <c r="H80" s="21">
        <v>1.32</v>
      </c>
      <c r="I80" s="19">
        <v>14</v>
      </c>
      <c r="J80" s="19">
        <v>3.2</v>
      </c>
      <c r="K80" s="22">
        <v>9305.7960000000003</v>
      </c>
      <c r="L80" s="1">
        <v>0</v>
      </c>
      <c r="M80" s="22">
        <v>9305.7960000000003</v>
      </c>
      <c r="N80" s="20">
        <v>300.18700000000001</v>
      </c>
      <c r="O80" s="22">
        <v>53985.057000000001</v>
      </c>
      <c r="P80" s="1">
        <v>0</v>
      </c>
      <c r="Q80" s="22">
        <v>53985.057000000001</v>
      </c>
      <c r="R80" s="22">
        <v>6755849.9939999999</v>
      </c>
      <c r="S80" s="1">
        <v>6895</v>
      </c>
      <c r="T80" s="22">
        <v>6762744.9939999999</v>
      </c>
      <c r="U80" s="1">
        <v>744</v>
      </c>
      <c r="V80" s="1">
        <v>0</v>
      </c>
      <c r="W80" s="1">
        <v>744</v>
      </c>
      <c r="X80" s="1">
        <v>0</v>
      </c>
    </row>
    <row r="81" spans="1:24" x14ac:dyDescent="0.25">
      <c r="A81" s="1">
        <v>62</v>
      </c>
      <c r="B81" s="1">
        <v>1870</v>
      </c>
      <c r="C81" s="19">
        <v>114</v>
      </c>
      <c r="D81" s="19">
        <v>1182.5</v>
      </c>
      <c r="E81" s="21">
        <v>0</v>
      </c>
      <c r="F81" s="21">
        <v>1.45</v>
      </c>
      <c r="G81" s="21">
        <v>0</v>
      </c>
      <c r="H81" s="21">
        <v>1.31</v>
      </c>
      <c r="I81" s="19">
        <v>13</v>
      </c>
      <c r="J81" s="19">
        <v>4.8</v>
      </c>
      <c r="K81" s="22">
        <v>5706.384</v>
      </c>
      <c r="L81" s="1">
        <v>0</v>
      </c>
      <c r="M81" s="22">
        <v>5706.384</v>
      </c>
      <c r="N81" s="20">
        <v>184.077</v>
      </c>
      <c r="O81" s="22">
        <v>32075.54</v>
      </c>
      <c r="P81" s="1">
        <v>0</v>
      </c>
      <c r="Q81" s="22">
        <v>32075.54</v>
      </c>
      <c r="R81" s="22">
        <v>5485858.4519999996</v>
      </c>
      <c r="S81" s="1">
        <v>5063</v>
      </c>
      <c r="T81" s="22">
        <v>5490921.4519999996</v>
      </c>
      <c r="U81" s="1">
        <v>744</v>
      </c>
      <c r="V81" s="1">
        <v>0</v>
      </c>
      <c r="W81" s="1">
        <v>744</v>
      </c>
      <c r="X81" s="1">
        <v>0</v>
      </c>
    </row>
    <row r="82" spans="1:24" x14ac:dyDescent="0.25">
      <c r="A82" s="1">
        <v>63</v>
      </c>
      <c r="B82" s="1">
        <v>1871</v>
      </c>
      <c r="C82" s="19">
        <v>114</v>
      </c>
      <c r="D82" s="19">
        <v>1189</v>
      </c>
      <c r="E82" s="21">
        <v>1.2</v>
      </c>
      <c r="F82" s="21">
        <v>1.45</v>
      </c>
      <c r="G82" s="21">
        <v>0</v>
      </c>
      <c r="H82" s="21">
        <v>1.31</v>
      </c>
      <c r="I82" s="19">
        <v>11</v>
      </c>
      <c r="J82" s="19">
        <v>4.8</v>
      </c>
      <c r="K82" s="22">
        <v>3643.306</v>
      </c>
      <c r="L82" s="1">
        <v>0</v>
      </c>
      <c r="M82" s="22">
        <v>3643.306</v>
      </c>
      <c r="N82" s="20">
        <v>117.526</v>
      </c>
      <c r="O82" s="22">
        <v>28084.254000000001</v>
      </c>
      <c r="P82" s="1">
        <v>13</v>
      </c>
      <c r="Q82" s="22">
        <v>28097.254000000001</v>
      </c>
      <c r="R82" s="22">
        <v>4918606.5719999997</v>
      </c>
      <c r="S82" s="1">
        <v>5337</v>
      </c>
      <c r="T82" s="22">
        <v>4923943.5719999997</v>
      </c>
      <c r="U82" s="1">
        <v>744</v>
      </c>
      <c r="V82" s="1">
        <v>0</v>
      </c>
      <c r="W82" s="1">
        <v>744</v>
      </c>
      <c r="X82" s="1">
        <v>0</v>
      </c>
    </row>
    <row r="83" spans="1:24" x14ac:dyDescent="0.25">
      <c r="A83" s="1">
        <v>64</v>
      </c>
      <c r="B83" s="1">
        <v>1872</v>
      </c>
      <c r="C83" s="19">
        <v>114</v>
      </c>
      <c r="D83" s="19">
        <v>1216.5</v>
      </c>
      <c r="E83" s="21">
        <v>0</v>
      </c>
      <c r="F83" s="21">
        <v>1.45</v>
      </c>
      <c r="G83" s="21">
        <v>0</v>
      </c>
      <c r="H83" s="21">
        <v>1.31</v>
      </c>
      <c r="I83" s="19">
        <v>15</v>
      </c>
      <c r="J83" s="19">
        <v>4.8</v>
      </c>
      <c r="K83" s="22">
        <v>4740.6890000000003</v>
      </c>
      <c r="L83" s="1">
        <v>0</v>
      </c>
      <c r="M83" s="22">
        <v>4740.6890000000003</v>
      </c>
      <c r="N83" s="20">
        <v>152.92500000000001</v>
      </c>
      <c r="O83" s="22">
        <v>28101.944</v>
      </c>
      <c r="P83" s="1">
        <v>23</v>
      </c>
      <c r="Q83" s="22">
        <v>28124.944</v>
      </c>
      <c r="R83" s="22">
        <v>5186290.9869999997</v>
      </c>
      <c r="S83" s="1">
        <v>4141</v>
      </c>
      <c r="T83" s="22">
        <v>5190431.9869999997</v>
      </c>
      <c r="U83" s="1">
        <v>744</v>
      </c>
      <c r="V83" s="1">
        <v>0</v>
      </c>
      <c r="W83" s="1">
        <v>744</v>
      </c>
      <c r="X83" s="1">
        <v>0</v>
      </c>
    </row>
    <row r="84" spans="1:24" x14ac:dyDescent="0.25">
      <c r="A84" s="1">
        <v>65</v>
      </c>
      <c r="B84" s="1">
        <v>1880</v>
      </c>
      <c r="C84" s="19">
        <v>168.3</v>
      </c>
      <c r="D84" s="19">
        <v>1175</v>
      </c>
      <c r="E84" s="21">
        <v>0</v>
      </c>
      <c r="F84" s="21">
        <v>1.45</v>
      </c>
      <c r="G84" s="21">
        <v>0</v>
      </c>
      <c r="H84" s="21">
        <v>1.33</v>
      </c>
      <c r="I84" s="19">
        <v>20</v>
      </c>
      <c r="J84" s="19">
        <v>3.6</v>
      </c>
      <c r="K84" s="22">
        <v>6759.87</v>
      </c>
      <c r="L84" s="1">
        <v>3</v>
      </c>
      <c r="M84" s="22">
        <v>6762.87</v>
      </c>
      <c r="N84" s="20">
        <v>218.06</v>
      </c>
      <c r="O84" s="22">
        <v>46700.894</v>
      </c>
      <c r="P84" s="1">
        <v>32</v>
      </c>
      <c r="Q84" s="22">
        <v>46732.894</v>
      </c>
      <c r="R84" s="22">
        <v>6783362.3080000002</v>
      </c>
      <c r="S84" s="1">
        <v>3478</v>
      </c>
      <c r="T84" s="22">
        <v>6786840.3080000002</v>
      </c>
      <c r="U84" s="1">
        <v>744</v>
      </c>
      <c r="V84" s="1">
        <v>0</v>
      </c>
      <c r="W84" s="1">
        <v>744</v>
      </c>
      <c r="X84" s="1">
        <v>0</v>
      </c>
    </row>
    <row r="85" spans="1:24" x14ac:dyDescent="0.25">
      <c r="A85" s="1">
        <v>66</v>
      </c>
      <c r="B85" s="1">
        <v>1881</v>
      </c>
      <c r="C85" s="19">
        <v>101.6</v>
      </c>
      <c r="D85" s="19">
        <v>1141.9000000000001</v>
      </c>
      <c r="E85" s="21">
        <v>1.3</v>
      </c>
      <c r="F85" s="21">
        <v>1.45</v>
      </c>
      <c r="G85" s="21">
        <v>0</v>
      </c>
      <c r="H85" s="21">
        <v>1.33</v>
      </c>
      <c r="I85" s="19">
        <v>17</v>
      </c>
      <c r="J85" s="19">
        <v>3.6</v>
      </c>
      <c r="K85" s="22">
        <v>4696.7929999999997</v>
      </c>
      <c r="L85" s="1">
        <v>3</v>
      </c>
      <c r="M85" s="22">
        <v>4699.7929999999997</v>
      </c>
      <c r="N85" s="20">
        <v>151.50899999999999</v>
      </c>
      <c r="O85" s="22">
        <v>26880.262999999999</v>
      </c>
      <c r="P85" s="1">
        <v>15</v>
      </c>
      <c r="Q85" s="22">
        <v>26895.262999999999</v>
      </c>
      <c r="R85" s="22">
        <v>4911612.9759999998</v>
      </c>
      <c r="S85" s="1">
        <v>4657</v>
      </c>
      <c r="T85" s="22">
        <v>4916269.9759999998</v>
      </c>
      <c r="U85" s="1">
        <v>744</v>
      </c>
      <c r="V85" s="1">
        <v>0</v>
      </c>
      <c r="W85" s="1">
        <v>744</v>
      </c>
      <c r="X85" s="1">
        <v>0</v>
      </c>
    </row>
    <row r="86" spans="1:24" x14ac:dyDescent="0.25">
      <c r="A86" s="1">
        <v>67</v>
      </c>
      <c r="B86" s="1">
        <v>1882</v>
      </c>
      <c r="C86" s="19">
        <v>168.3</v>
      </c>
      <c r="D86" s="19">
        <v>1228</v>
      </c>
      <c r="E86" s="21">
        <v>0</v>
      </c>
      <c r="F86" s="21">
        <v>1.45</v>
      </c>
      <c r="G86" s="21">
        <v>0</v>
      </c>
      <c r="H86" s="21">
        <v>1.33</v>
      </c>
      <c r="I86" s="19">
        <v>9</v>
      </c>
      <c r="J86" s="19">
        <v>3.6</v>
      </c>
      <c r="K86" s="22">
        <v>4475.9009999999998</v>
      </c>
      <c r="L86" s="1">
        <v>11</v>
      </c>
      <c r="M86" s="22">
        <v>4486.9009999999998</v>
      </c>
      <c r="N86" s="20">
        <v>154.34100000000001</v>
      </c>
      <c r="O86" s="22">
        <v>42156.623</v>
      </c>
      <c r="P86" s="1">
        <v>30</v>
      </c>
      <c r="Q86" s="22">
        <v>42186.623</v>
      </c>
      <c r="R86" s="22">
        <v>6254351.3550000004</v>
      </c>
      <c r="S86" s="1">
        <v>4423</v>
      </c>
      <c r="T86" s="22">
        <v>6258774.3550000004</v>
      </c>
      <c r="U86" s="1">
        <v>696</v>
      </c>
      <c r="V86" s="1">
        <v>47</v>
      </c>
      <c r="W86" s="1">
        <v>744</v>
      </c>
      <c r="X86" s="1">
        <v>314</v>
      </c>
    </row>
    <row r="87" spans="1:24" x14ac:dyDescent="0.25">
      <c r="C87" s="19"/>
      <c r="D87" s="19"/>
      <c r="E87" s="21"/>
      <c r="F87" s="21"/>
      <c r="G87" s="21"/>
      <c r="H87" s="21"/>
      <c r="I87" s="19"/>
      <c r="J87" s="19"/>
      <c r="K87" s="22"/>
      <c r="M87" s="22"/>
      <c r="N87" s="20"/>
      <c r="O87" s="22"/>
      <c r="Q87" s="22"/>
      <c r="R87" s="22"/>
      <c r="T87" s="22"/>
      <c r="V87" s="1">
        <v>1</v>
      </c>
      <c r="X87" s="1">
        <v>341</v>
      </c>
    </row>
    <row r="88" spans="1:24" x14ac:dyDescent="0.25">
      <c r="A88" s="1">
        <v>68</v>
      </c>
      <c r="B88" s="1">
        <v>1890</v>
      </c>
      <c r="C88" s="19">
        <v>168.3</v>
      </c>
      <c r="D88" s="19">
        <v>1154.5999999999999</v>
      </c>
      <c r="E88" s="21">
        <v>0</v>
      </c>
      <c r="F88" s="21">
        <v>1.45</v>
      </c>
      <c r="G88" s="21">
        <v>0</v>
      </c>
      <c r="H88" s="21">
        <v>1.2</v>
      </c>
      <c r="I88" s="19">
        <v>11</v>
      </c>
      <c r="J88" s="19">
        <v>3.2</v>
      </c>
      <c r="K88" s="22">
        <v>8427.89</v>
      </c>
      <c r="L88" s="1">
        <v>0</v>
      </c>
      <c r="M88" s="22">
        <v>8427.89</v>
      </c>
      <c r="N88" s="20">
        <v>271.86700000000002</v>
      </c>
      <c r="O88" s="22">
        <v>46068.855000000003</v>
      </c>
      <c r="P88" s="1">
        <v>49</v>
      </c>
      <c r="Q88" s="22">
        <v>46117.855000000003</v>
      </c>
      <c r="R88" s="22">
        <v>7086909.7199999997</v>
      </c>
      <c r="S88" s="1">
        <v>4606</v>
      </c>
      <c r="T88" s="22">
        <v>7091515.7199999997</v>
      </c>
      <c r="U88" s="1">
        <v>744</v>
      </c>
      <c r="V88" s="1">
        <v>0</v>
      </c>
      <c r="W88" s="1">
        <v>744</v>
      </c>
      <c r="X88" s="1">
        <v>0</v>
      </c>
    </row>
    <row r="89" spans="1:24" x14ac:dyDescent="0.25">
      <c r="A89" s="1">
        <v>69</v>
      </c>
      <c r="B89" s="1">
        <v>1891</v>
      </c>
      <c r="C89" s="19">
        <v>89</v>
      </c>
      <c r="D89" s="19">
        <v>1172.04</v>
      </c>
      <c r="E89" s="21">
        <v>0</v>
      </c>
      <c r="F89" s="21">
        <v>1.47</v>
      </c>
      <c r="G89" s="21">
        <v>0</v>
      </c>
      <c r="H89" s="21">
        <v>1.2</v>
      </c>
      <c r="I89" s="19">
        <v>10</v>
      </c>
      <c r="J89" s="19">
        <v>3.2</v>
      </c>
      <c r="K89" s="22">
        <v>2940.982</v>
      </c>
      <c r="L89" s="1">
        <v>0</v>
      </c>
      <c r="M89" s="22">
        <v>2940.982</v>
      </c>
      <c r="N89" s="20">
        <v>94.87</v>
      </c>
      <c r="O89" s="22">
        <v>16396.913</v>
      </c>
      <c r="P89" s="1">
        <v>14</v>
      </c>
      <c r="Q89" s="22">
        <v>16410.913</v>
      </c>
      <c r="R89" s="22">
        <v>7605656.3859999999</v>
      </c>
      <c r="S89" s="1">
        <v>5186</v>
      </c>
      <c r="T89" s="22">
        <v>7610842.3859999999</v>
      </c>
      <c r="U89" s="1">
        <v>744</v>
      </c>
      <c r="V89" s="1">
        <v>0</v>
      </c>
      <c r="W89" s="1">
        <v>744</v>
      </c>
      <c r="X89" s="1">
        <v>0</v>
      </c>
    </row>
    <row r="90" spans="1:24" x14ac:dyDescent="0.25">
      <c r="A90" s="1">
        <v>70</v>
      </c>
      <c r="B90" s="1">
        <v>1900</v>
      </c>
      <c r="C90" s="19">
        <v>168.3</v>
      </c>
      <c r="D90" s="19">
        <v>1203.9000000000001</v>
      </c>
      <c r="E90" s="21">
        <v>0</v>
      </c>
      <c r="F90" s="21">
        <v>1.4</v>
      </c>
      <c r="G90" s="21">
        <v>0</v>
      </c>
      <c r="H90" s="21">
        <v>1.31</v>
      </c>
      <c r="I90" s="19">
        <v>10</v>
      </c>
      <c r="J90" s="19">
        <v>4.8</v>
      </c>
      <c r="K90" s="22">
        <v>6521.0429999999997</v>
      </c>
      <c r="L90" s="1">
        <v>4</v>
      </c>
      <c r="M90" s="22">
        <v>6525.0429999999997</v>
      </c>
      <c r="N90" s="20">
        <v>249.21199999999999</v>
      </c>
      <c r="O90" s="22">
        <v>43114.12</v>
      </c>
      <c r="P90" s="1">
        <v>7</v>
      </c>
      <c r="Q90" s="22">
        <v>43121.120000000003</v>
      </c>
      <c r="R90" s="22">
        <v>7431053.9199999999</v>
      </c>
      <c r="S90" s="1">
        <v>4599</v>
      </c>
      <c r="T90" s="22">
        <v>7435652.9199999999</v>
      </c>
      <c r="U90" s="1">
        <v>628</v>
      </c>
      <c r="V90" s="1">
        <v>115</v>
      </c>
      <c r="W90" s="1">
        <v>744</v>
      </c>
      <c r="X90" s="1">
        <v>314</v>
      </c>
    </row>
    <row r="91" spans="1:24" x14ac:dyDescent="0.25">
      <c r="C91" s="19"/>
      <c r="D91" s="19"/>
      <c r="E91" s="21"/>
      <c r="F91" s="21"/>
      <c r="G91" s="21"/>
      <c r="H91" s="21"/>
      <c r="I91" s="19"/>
      <c r="J91" s="19"/>
      <c r="K91" s="22"/>
      <c r="M91" s="22"/>
      <c r="N91" s="20"/>
      <c r="O91" s="22"/>
      <c r="Q91" s="22"/>
      <c r="R91" s="22"/>
      <c r="T91" s="22"/>
      <c r="V91" s="1">
        <v>1</v>
      </c>
      <c r="X91" s="1">
        <v>341</v>
      </c>
    </row>
    <row r="92" spans="1:24" x14ac:dyDescent="0.25">
      <c r="A92" s="1">
        <v>71</v>
      </c>
      <c r="B92" s="1">
        <v>1901</v>
      </c>
      <c r="C92" s="19">
        <v>168.3</v>
      </c>
      <c r="D92" s="19">
        <v>1160.7</v>
      </c>
      <c r="E92" s="21">
        <v>1.7</v>
      </c>
      <c r="F92" s="21">
        <v>1.4</v>
      </c>
      <c r="G92" s="21">
        <v>0</v>
      </c>
      <c r="H92" s="21">
        <v>1.31</v>
      </c>
      <c r="I92" s="19">
        <v>18</v>
      </c>
      <c r="J92" s="19">
        <v>4.8</v>
      </c>
      <c r="K92" s="22">
        <v>9700.8520000000008</v>
      </c>
      <c r="L92" s="1">
        <v>0</v>
      </c>
      <c r="M92" s="22">
        <v>9700.8520000000008</v>
      </c>
      <c r="N92" s="20">
        <v>312.93099999999998</v>
      </c>
      <c r="O92" s="22">
        <v>55898.76</v>
      </c>
      <c r="P92" s="1">
        <v>3</v>
      </c>
      <c r="Q92" s="22">
        <v>55901.760000000002</v>
      </c>
      <c r="R92" s="22">
        <v>8209581.9900000002</v>
      </c>
      <c r="S92" s="1">
        <v>5995</v>
      </c>
      <c r="T92" s="22">
        <v>8215576.9900000002</v>
      </c>
      <c r="U92" s="1">
        <v>744</v>
      </c>
      <c r="V92" s="1">
        <v>0</v>
      </c>
      <c r="W92" s="1">
        <v>744</v>
      </c>
      <c r="X92" s="1">
        <v>0</v>
      </c>
    </row>
    <row r="93" spans="1:24" x14ac:dyDescent="0.25">
      <c r="A93" s="28" t="s">
        <v>31</v>
      </c>
      <c r="B93" s="23"/>
      <c r="C93" s="24"/>
      <c r="D93" s="24"/>
      <c r="E93" s="25"/>
      <c r="F93" s="25"/>
      <c r="G93" s="25"/>
      <c r="H93" s="25"/>
      <c r="I93" s="24"/>
      <c r="J93" s="24"/>
      <c r="K93" s="26">
        <v>305094.96600000001</v>
      </c>
      <c r="L93" s="23">
        <v>107</v>
      </c>
      <c r="M93" s="26">
        <v>305201.96600000001</v>
      </c>
      <c r="N93" s="27">
        <v>142</v>
      </c>
      <c r="O93" s="26">
        <v>1866492.0619999999</v>
      </c>
      <c r="P93" s="23">
        <v>1322</v>
      </c>
      <c r="Q93" s="26">
        <v>1867814.0619999999</v>
      </c>
      <c r="R93" s="26">
        <v>398390955.78500003</v>
      </c>
      <c r="S93" s="23">
        <v>368292</v>
      </c>
      <c r="T93" s="26">
        <v>398759247.78500003</v>
      </c>
      <c r="U93" s="23">
        <v>51425</v>
      </c>
      <c r="V93" s="23">
        <v>718</v>
      </c>
      <c r="W93" s="23">
        <v>52143</v>
      </c>
      <c r="X93" s="23"/>
    </row>
    <row r="94" spans="1:24" x14ac:dyDescent="0.25">
      <c r="A94" s="29" t="s">
        <v>63</v>
      </c>
    </row>
    <row r="95" spans="1:24" x14ac:dyDescent="0.25">
      <c r="A95" s="29" t="s">
        <v>32</v>
      </c>
    </row>
    <row r="96" spans="1:24" x14ac:dyDescent="0.25">
      <c r="A96" s="29" t="s">
        <v>33</v>
      </c>
    </row>
    <row r="97" spans="1:24" x14ac:dyDescent="0.25">
      <c r="A97" s="29" t="s">
        <v>34</v>
      </c>
    </row>
    <row r="98" spans="1:24" x14ac:dyDescent="0.25">
      <c r="N98" s="18" t="s">
        <v>35</v>
      </c>
    </row>
    <row r="99" spans="1:24" x14ac:dyDescent="0.25">
      <c r="A99" s="1">
        <v>72</v>
      </c>
      <c r="B99" s="1">
        <v>1692</v>
      </c>
      <c r="C99" s="19">
        <v>168.3</v>
      </c>
      <c r="D99" s="19">
        <v>1213.7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1">
        <v>0</v>
      </c>
      <c r="L99" s="1">
        <v>0</v>
      </c>
      <c r="M99" s="1">
        <v>0</v>
      </c>
      <c r="N99" s="20">
        <v>0</v>
      </c>
      <c r="O99" s="20">
        <v>0</v>
      </c>
      <c r="P99" s="1">
        <v>0</v>
      </c>
      <c r="Q99" s="20">
        <v>0</v>
      </c>
      <c r="R99" s="22">
        <v>5132836.9929999998</v>
      </c>
      <c r="S99" s="1">
        <v>3496</v>
      </c>
      <c r="T99" s="22">
        <v>5136332.9929999998</v>
      </c>
      <c r="U99" s="1">
        <v>0</v>
      </c>
      <c r="V99" s="1">
        <v>0</v>
      </c>
      <c r="W99" s="1">
        <v>0</v>
      </c>
      <c r="X99" s="1">
        <v>0</v>
      </c>
    </row>
    <row r="100" spans="1:24" x14ac:dyDescent="0.25">
      <c r="C100" s="19"/>
      <c r="D100" s="19"/>
      <c r="E100" s="20"/>
      <c r="F100" s="20"/>
      <c r="G100" s="20"/>
      <c r="H100" s="20"/>
      <c r="I100" s="20"/>
      <c r="J100" s="20"/>
      <c r="N100" s="30" t="s">
        <v>36</v>
      </c>
      <c r="O100" s="20"/>
      <c r="Q100" s="20"/>
      <c r="R100" s="20"/>
      <c r="T100" s="20"/>
    </row>
    <row r="101" spans="1:24" x14ac:dyDescent="0.25">
      <c r="A101" s="1">
        <v>73</v>
      </c>
      <c r="B101" s="1">
        <v>28</v>
      </c>
      <c r="C101" s="19">
        <v>89</v>
      </c>
      <c r="D101" s="19">
        <v>1320</v>
      </c>
      <c r="E101" s="20">
        <v>0</v>
      </c>
      <c r="F101" s="20">
        <v>0</v>
      </c>
      <c r="G101" s="20">
        <v>0</v>
      </c>
      <c r="H101" s="20">
        <v>0</v>
      </c>
      <c r="I101" s="20">
        <v>0</v>
      </c>
      <c r="J101" s="20">
        <v>0</v>
      </c>
      <c r="K101" s="1">
        <v>0</v>
      </c>
      <c r="L101" s="1">
        <v>0</v>
      </c>
      <c r="M101" s="1">
        <v>0</v>
      </c>
      <c r="N101" s="20">
        <v>0</v>
      </c>
      <c r="O101" s="20">
        <v>0</v>
      </c>
      <c r="P101" s="1">
        <v>0</v>
      </c>
      <c r="Q101" s="20">
        <v>0</v>
      </c>
      <c r="R101" s="20">
        <v>0</v>
      </c>
      <c r="S101" s="1">
        <v>0</v>
      </c>
      <c r="T101" s="20">
        <v>0</v>
      </c>
      <c r="U101" s="1">
        <v>0</v>
      </c>
      <c r="V101" s="1">
        <v>0</v>
      </c>
      <c r="W101" s="1">
        <v>0</v>
      </c>
      <c r="X101" s="1">
        <v>0</v>
      </c>
    </row>
    <row r="102" spans="1:24" x14ac:dyDescent="0.25">
      <c r="A102" s="1">
        <v>74</v>
      </c>
      <c r="B102" s="1">
        <v>43</v>
      </c>
      <c r="C102" s="19">
        <v>73</v>
      </c>
      <c r="D102" s="19">
        <v>1310.29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1">
        <v>0</v>
      </c>
      <c r="L102" s="1">
        <v>0</v>
      </c>
      <c r="M102" s="1">
        <v>0</v>
      </c>
      <c r="N102" s="20">
        <v>0</v>
      </c>
      <c r="O102" s="20">
        <v>0</v>
      </c>
      <c r="P102" s="1">
        <v>0</v>
      </c>
      <c r="Q102" s="20">
        <v>0</v>
      </c>
      <c r="R102" s="20">
        <v>0</v>
      </c>
      <c r="S102" s="1">
        <v>0</v>
      </c>
      <c r="T102" s="20">
        <v>0</v>
      </c>
      <c r="U102" s="1">
        <v>0</v>
      </c>
      <c r="V102" s="1">
        <v>0</v>
      </c>
      <c r="W102" s="1">
        <v>0</v>
      </c>
      <c r="X102" s="1">
        <v>0</v>
      </c>
    </row>
    <row r="103" spans="1:24" x14ac:dyDescent="0.25">
      <c r="A103" s="1">
        <v>75</v>
      </c>
      <c r="B103" s="1">
        <v>44</v>
      </c>
      <c r="C103" s="19">
        <v>101.6</v>
      </c>
      <c r="D103" s="19">
        <v>1428.6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1">
        <v>0</v>
      </c>
      <c r="L103" s="1">
        <v>0</v>
      </c>
      <c r="M103" s="1">
        <v>0</v>
      </c>
      <c r="N103" s="20">
        <v>0</v>
      </c>
      <c r="O103" s="20">
        <v>0</v>
      </c>
      <c r="P103" s="1">
        <v>0</v>
      </c>
      <c r="Q103" s="20">
        <v>0</v>
      </c>
      <c r="R103" s="20">
        <v>0</v>
      </c>
      <c r="S103" s="1">
        <v>0</v>
      </c>
      <c r="T103" s="20">
        <v>0</v>
      </c>
      <c r="U103" s="1">
        <v>0</v>
      </c>
      <c r="V103" s="1">
        <v>0</v>
      </c>
      <c r="W103" s="1">
        <v>0</v>
      </c>
      <c r="X103" s="1">
        <v>0</v>
      </c>
    </row>
    <row r="104" spans="1:24" x14ac:dyDescent="0.25">
      <c r="C104" s="19"/>
      <c r="D104" s="19"/>
      <c r="E104" s="20"/>
      <c r="F104" s="20"/>
      <c r="G104" s="20"/>
      <c r="H104" s="20"/>
      <c r="I104" s="20"/>
      <c r="J104" s="20"/>
      <c r="N104" s="30" t="s">
        <v>37</v>
      </c>
      <c r="O104" s="20"/>
      <c r="Q104" s="20"/>
      <c r="R104" s="20"/>
      <c r="T104" s="20"/>
    </row>
    <row r="105" spans="1:24" x14ac:dyDescent="0.25">
      <c r="A105" s="1">
        <v>76</v>
      </c>
      <c r="B105" s="1">
        <v>59</v>
      </c>
      <c r="C105" s="19">
        <v>73</v>
      </c>
      <c r="D105" s="19">
        <v>1194.4000000000001</v>
      </c>
      <c r="E105" s="20">
        <v>0</v>
      </c>
      <c r="F105" s="20">
        <v>0</v>
      </c>
      <c r="G105" s="20">
        <v>0</v>
      </c>
      <c r="H105" s="20">
        <v>0</v>
      </c>
      <c r="I105" s="20">
        <v>0</v>
      </c>
      <c r="J105" s="20">
        <v>0</v>
      </c>
      <c r="K105" s="1">
        <v>0</v>
      </c>
      <c r="L105" s="1">
        <v>0</v>
      </c>
      <c r="M105" s="1">
        <v>0</v>
      </c>
      <c r="N105" s="20">
        <v>0</v>
      </c>
      <c r="O105" s="20">
        <v>0</v>
      </c>
      <c r="P105" s="1">
        <v>0</v>
      </c>
      <c r="Q105" s="20">
        <v>0</v>
      </c>
      <c r="R105" s="20">
        <v>0</v>
      </c>
      <c r="S105" s="1">
        <v>2350</v>
      </c>
      <c r="T105" s="22">
        <v>2350</v>
      </c>
      <c r="U105" s="1">
        <v>0</v>
      </c>
      <c r="V105" s="1">
        <v>0</v>
      </c>
      <c r="W105" s="1">
        <v>0</v>
      </c>
      <c r="X105" s="1">
        <v>0</v>
      </c>
    </row>
    <row r="106" spans="1:24" x14ac:dyDescent="0.25">
      <c r="A106" s="1">
        <v>77</v>
      </c>
      <c r="B106" s="1">
        <v>63</v>
      </c>
      <c r="C106" s="19">
        <v>73</v>
      </c>
      <c r="D106" s="19">
        <v>1199.8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1">
        <v>0</v>
      </c>
      <c r="L106" s="1">
        <v>0</v>
      </c>
      <c r="M106" s="1">
        <v>0</v>
      </c>
      <c r="N106" s="20">
        <v>0</v>
      </c>
      <c r="O106" s="20">
        <v>0</v>
      </c>
      <c r="P106" s="1">
        <v>0</v>
      </c>
      <c r="Q106" s="20">
        <v>0</v>
      </c>
      <c r="R106" s="20">
        <v>0</v>
      </c>
      <c r="S106" s="1">
        <v>540</v>
      </c>
      <c r="T106" s="22">
        <v>540</v>
      </c>
      <c r="U106" s="1">
        <v>0</v>
      </c>
      <c r="V106" s="1">
        <v>0</v>
      </c>
      <c r="W106" s="1">
        <v>0</v>
      </c>
      <c r="X106" s="1">
        <v>0</v>
      </c>
    </row>
    <row r="107" spans="1:24" x14ac:dyDescent="0.25">
      <c r="A107" s="1">
        <v>78</v>
      </c>
      <c r="B107" s="1">
        <v>65</v>
      </c>
      <c r="C107" s="19">
        <v>114</v>
      </c>
      <c r="D107" s="19">
        <v>1140.4000000000001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1">
        <v>0</v>
      </c>
      <c r="L107" s="1">
        <v>0</v>
      </c>
      <c r="M107" s="1">
        <v>0</v>
      </c>
      <c r="N107" s="20">
        <v>0</v>
      </c>
      <c r="O107" s="20">
        <v>0</v>
      </c>
      <c r="P107" s="1">
        <v>0</v>
      </c>
      <c r="Q107" s="20">
        <v>0</v>
      </c>
      <c r="R107" s="20">
        <v>0</v>
      </c>
      <c r="S107" s="1">
        <v>2887</v>
      </c>
      <c r="T107" s="22">
        <v>2887</v>
      </c>
      <c r="U107" s="1">
        <v>0</v>
      </c>
      <c r="V107" s="1">
        <v>0</v>
      </c>
      <c r="W107" s="1">
        <v>0</v>
      </c>
      <c r="X107" s="1">
        <v>0</v>
      </c>
    </row>
    <row r="108" spans="1:24" x14ac:dyDescent="0.25">
      <c r="A108" s="1">
        <v>79</v>
      </c>
      <c r="B108" s="1">
        <v>76</v>
      </c>
      <c r="C108" s="19">
        <v>89</v>
      </c>
      <c r="D108" s="19">
        <v>1376.12</v>
      </c>
      <c r="E108" s="20">
        <v>0</v>
      </c>
      <c r="F108" s="20">
        <v>0</v>
      </c>
      <c r="G108" s="20">
        <v>0</v>
      </c>
      <c r="H108" s="20">
        <v>0</v>
      </c>
      <c r="I108" s="20">
        <v>0</v>
      </c>
      <c r="J108" s="20">
        <v>0</v>
      </c>
      <c r="K108" s="1">
        <v>0</v>
      </c>
      <c r="L108" s="1">
        <v>0</v>
      </c>
      <c r="M108" s="1">
        <v>0</v>
      </c>
      <c r="N108" s="20">
        <v>0</v>
      </c>
      <c r="O108" s="20">
        <v>0</v>
      </c>
      <c r="P108" s="1">
        <v>0</v>
      </c>
      <c r="Q108" s="20">
        <v>0</v>
      </c>
      <c r="R108" s="20">
        <v>0</v>
      </c>
      <c r="S108" s="1">
        <v>30</v>
      </c>
      <c r="T108" s="22">
        <v>30</v>
      </c>
      <c r="U108" s="1">
        <v>0</v>
      </c>
      <c r="V108" s="1">
        <v>0</v>
      </c>
      <c r="W108" s="1">
        <v>0</v>
      </c>
      <c r="X108" s="1">
        <v>0</v>
      </c>
    </row>
    <row r="109" spans="1:24" x14ac:dyDescent="0.25">
      <c r="A109" s="1">
        <v>80</v>
      </c>
      <c r="B109" s="1">
        <v>77</v>
      </c>
      <c r="C109" s="19">
        <v>73</v>
      </c>
      <c r="D109" s="19">
        <v>1218</v>
      </c>
      <c r="E109" s="20">
        <v>0</v>
      </c>
      <c r="F109" s="20">
        <v>0</v>
      </c>
      <c r="G109" s="20">
        <v>0</v>
      </c>
      <c r="H109" s="20">
        <v>0</v>
      </c>
      <c r="I109" s="20">
        <v>0</v>
      </c>
      <c r="J109" s="20">
        <v>0</v>
      </c>
      <c r="K109" s="1">
        <v>0</v>
      </c>
      <c r="L109" s="1">
        <v>0</v>
      </c>
      <c r="M109" s="1">
        <v>0</v>
      </c>
      <c r="N109" s="20">
        <v>0</v>
      </c>
      <c r="O109" s="20">
        <v>0</v>
      </c>
      <c r="P109" s="1">
        <v>0</v>
      </c>
      <c r="Q109" s="20">
        <v>0</v>
      </c>
      <c r="R109" s="20">
        <v>0</v>
      </c>
      <c r="S109" s="1">
        <v>650</v>
      </c>
      <c r="T109" s="22">
        <v>650</v>
      </c>
      <c r="U109" s="1">
        <v>0</v>
      </c>
      <c r="V109" s="1">
        <v>0</v>
      </c>
      <c r="W109" s="1">
        <v>0</v>
      </c>
      <c r="X109" s="1">
        <v>0</v>
      </c>
    </row>
    <row r="110" spans="1:24" x14ac:dyDescent="0.25">
      <c r="C110" s="19"/>
      <c r="D110" s="19"/>
      <c r="E110" s="20"/>
      <c r="F110" s="20"/>
      <c r="G110" s="20"/>
      <c r="H110" s="20"/>
      <c r="I110" s="20"/>
      <c r="J110" s="20"/>
      <c r="N110" s="30" t="s">
        <v>38</v>
      </c>
      <c r="O110" s="20"/>
      <c r="Q110" s="20"/>
      <c r="R110" s="20"/>
      <c r="T110" s="20"/>
    </row>
    <row r="111" spans="1:24" x14ac:dyDescent="0.25">
      <c r="A111" s="1">
        <v>81</v>
      </c>
      <c r="B111" s="1">
        <v>79</v>
      </c>
      <c r="C111" s="19">
        <v>0</v>
      </c>
      <c r="D111" s="19">
        <v>0</v>
      </c>
      <c r="E111" s="20">
        <v>0</v>
      </c>
      <c r="F111" s="20">
        <v>0</v>
      </c>
      <c r="G111" s="20">
        <v>0</v>
      </c>
      <c r="H111" s="20">
        <v>0</v>
      </c>
      <c r="I111" s="20">
        <v>0</v>
      </c>
      <c r="J111" s="20">
        <v>0</v>
      </c>
      <c r="K111" s="1">
        <v>0</v>
      </c>
      <c r="L111" s="1">
        <v>0</v>
      </c>
      <c r="M111" s="1">
        <v>0</v>
      </c>
      <c r="N111" s="20">
        <v>0</v>
      </c>
      <c r="O111" s="20">
        <v>0</v>
      </c>
      <c r="P111" s="1">
        <v>0</v>
      </c>
      <c r="Q111" s="20">
        <v>0</v>
      </c>
      <c r="R111" s="20">
        <v>0</v>
      </c>
      <c r="S111" s="1">
        <v>0</v>
      </c>
      <c r="T111" s="20">
        <v>0</v>
      </c>
      <c r="U111" s="1">
        <v>0</v>
      </c>
      <c r="V111" s="1">
        <v>0</v>
      </c>
      <c r="W111" s="1">
        <v>0</v>
      </c>
      <c r="X111" s="1">
        <v>0</v>
      </c>
    </row>
    <row r="112" spans="1:24" x14ac:dyDescent="0.25">
      <c r="A112" s="1">
        <v>82</v>
      </c>
      <c r="B112" s="1">
        <v>83</v>
      </c>
      <c r="C112" s="19">
        <v>0</v>
      </c>
      <c r="D112" s="19">
        <v>0</v>
      </c>
      <c r="E112" s="20">
        <v>0</v>
      </c>
      <c r="F112" s="20">
        <v>0</v>
      </c>
      <c r="G112" s="20">
        <v>0</v>
      </c>
      <c r="H112" s="20">
        <v>0</v>
      </c>
      <c r="I112" s="20">
        <v>0</v>
      </c>
      <c r="J112" s="20">
        <v>0</v>
      </c>
      <c r="K112" s="1">
        <v>0</v>
      </c>
      <c r="L112" s="1">
        <v>0</v>
      </c>
      <c r="M112" s="1">
        <v>0</v>
      </c>
      <c r="N112" s="20">
        <v>0</v>
      </c>
      <c r="O112" s="20">
        <v>0</v>
      </c>
      <c r="P112" s="1">
        <v>0</v>
      </c>
      <c r="Q112" s="20">
        <v>0</v>
      </c>
      <c r="R112" s="20">
        <v>0</v>
      </c>
      <c r="S112" s="1">
        <v>0</v>
      </c>
      <c r="T112" s="20">
        <v>0</v>
      </c>
      <c r="U112" s="1">
        <v>0</v>
      </c>
      <c r="V112" s="1">
        <v>0</v>
      </c>
      <c r="W112" s="1">
        <v>0</v>
      </c>
      <c r="X112" s="1">
        <v>0</v>
      </c>
    </row>
    <row r="113" spans="1:24" x14ac:dyDescent="0.25">
      <c r="A113" s="1">
        <v>83</v>
      </c>
      <c r="B113" s="1">
        <v>170</v>
      </c>
      <c r="C113" s="19">
        <v>0</v>
      </c>
      <c r="D113" s="19">
        <v>0</v>
      </c>
      <c r="E113" s="20">
        <v>0</v>
      </c>
      <c r="F113" s="20">
        <v>0</v>
      </c>
      <c r="G113" s="20">
        <v>0</v>
      </c>
      <c r="H113" s="20">
        <v>0</v>
      </c>
      <c r="I113" s="20">
        <v>0</v>
      </c>
      <c r="J113" s="20">
        <v>0</v>
      </c>
      <c r="K113" s="1">
        <v>0</v>
      </c>
      <c r="L113" s="1">
        <v>0</v>
      </c>
      <c r="M113" s="1">
        <v>0</v>
      </c>
      <c r="N113" s="20">
        <v>0</v>
      </c>
      <c r="O113" s="20">
        <v>0</v>
      </c>
      <c r="P113" s="1">
        <v>0</v>
      </c>
      <c r="Q113" s="20">
        <v>0</v>
      </c>
      <c r="R113" s="20">
        <v>0</v>
      </c>
      <c r="S113" s="1">
        <v>0</v>
      </c>
      <c r="T113" s="20">
        <v>0</v>
      </c>
      <c r="U113" s="1">
        <v>0</v>
      </c>
      <c r="V113" s="1">
        <v>0</v>
      </c>
      <c r="W113" s="1">
        <v>0</v>
      </c>
      <c r="X113" s="1">
        <v>0</v>
      </c>
    </row>
    <row r="114" spans="1:24" x14ac:dyDescent="0.25">
      <c r="A114" s="1">
        <v>84</v>
      </c>
      <c r="B114" s="1">
        <v>1679</v>
      </c>
      <c r="C114" s="19">
        <v>0</v>
      </c>
      <c r="D114" s="19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1">
        <v>0</v>
      </c>
      <c r="L114" s="1">
        <v>0</v>
      </c>
      <c r="M114" s="1">
        <v>0</v>
      </c>
      <c r="N114" s="20">
        <v>0</v>
      </c>
      <c r="O114" s="20">
        <v>0</v>
      </c>
      <c r="P114" s="1">
        <v>0</v>
      </c>
      <c r="Q114" s="20">
        <v>0</v>
      </c>
      <c r="R114" s="20">
        <v>0</v>
      </c>
      <c r="S114" s="1">
        <v>0</v>
      </c>
      <c r="T114" s="20">
        <v>0</v>
      </c>
      <c r="U114" s="1">
        <v>0</v>
      </c>
      <c r="V114" s="1">
        <v>0</v>
      </c>
      <c r="W114" s="1">
        <v>0</v>
      </c>
      <c r="X114" s="1">
        <v>0</v>
      </c>
    </row>
    <row r="115" spans="1:24" x14ac:dyDescent="0.25">
      <c r="A115" s="1">
        <v>85</v>
      </c>
      <c r="B115" s="1">
        <v>1819</v>
      </c>
      <c r="C115" s="19">
        <v>0</v>
      </c>
      <c r="D115" s="19">
        <v>0</v>
      </c>
      <c r="E115" s="20">
        <v>0</v>
      </c>
      <c r="F115" s="20">
        <v>0</v>
      </c>
      <c r="G115" s="20">
        <v>0</v>
      </c>
      <c r="H115" s="20">
        <v>0</v>
      </c>
      <c r="I115" s="20">
        <v>0</v>
      </c>
      <c r="J115" s="20">
        <v>0</v>
      </c>
      <c r="K115" s="1">
        <v>0</v>
      </c>
      <c r="L115" s="1">
        <v>0</v>
      </c>
      <c r="M115" s="1">
        <v>0</v>
      </c>
      <c r="N115" s="20">
        <v>0</v>
      </c>
      <c r="O115" s="20">
        <v>0</v>
      </c>
      <c r="P115" s="1">
        <v>0</v>
      </c>
      <c r="Q115" s="20">
        <v>0</v>
      </c>
      <c r="R115" s="20">
        <v>0</v>
      </c>
      <c r="S115" s="1">
        <v>0</v>
      </c>
      <c r="T115" s="20">
        <v>0</v>
      </c>
      <c r="U115" s="1">
        <v>0</v>
      </c>
      <c r="V115" s="1">
        <v>0</v>
      </c>
      <c r="W115" s="1">
        <v>0</v>
      </c>
      <c r="X115" s="1">
        <v>0</v>
      </c>
    </row>
    <row r="116" spans="1:24" x14ac:dyDescent="0.25">
      <c r="C116" s="19"/>
      <c r="D116" s="19"/>
      <c r="E116" s="20"/>
      <c r="F116" s="20"/>
      <c r="G116" s="20"/>
      <c r="H116" s="20"/>
      <c r="I116" s="20"/>
      <c r="J116" s="20"/>
      <c r="N116" s="30" t="s">
        <v>39</v>
      </c>
      <c r="O116" s="20"/>
      <c r="Q116" s="20"/>
      <c r="R116" s="20"/>
      <c r="T116" s="20"/>
    </row>
    <row r="117" spans="1:24" x14ac:dyDescent="0.25">
      <c r="A117" s="1">
        <v>86</v>
      </c>
      <c r="B117" s="1">
        <v>21</v>
      </c>
      <c r="C117" s="19">
        <v>114</v>
      </c>
      <c r="D117" s="19">
        <v>1063.4000000000001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1">
        <v>0</v>
      </c>
      <c r="L117" s="1">
        <v>0</v>
      </c>
      <c r="M117" s="1">
        <v>0</v>
      </c>
      <c r="N117" s="20">
        <v>0</v>
      </c>
      <c r="O117" s="20">
        <v>0</v>
      </c>
      <c r="P117" s="1">
        <v>0</v>
      </c>
      <c r="Q117" s="20">
        <v>0</v>
      </c>
      <c r="R117" s="20">
        <v>0</v>
      </c>
      <c r="S117" s="1">
        <v>0</v>
      </c>
      <c r="T117" s="20">
        <v>0</v>
      </c>
      <c r="U117" s="1">
        <v>0</v>
      </c>
      <c r="V117" s="1">
        <v>0</v>
      </c>
      <c r="W117" s="1">
        <v>0</v>
      </c>
      <c r="X117" s="1">
        <v>0</v>
      </c>
    </row>
    <row r="118" spans="1:24" x14ac:dyDescent="0.25">
      <c r="A118" s="1">
        <v>87</v>
      </c>
      <c r="B118" s="1">
        <v>78</v>
      </c>
      <c r="C118" s="19">
        <v>89</v>
      </c>
      <c r="D118" s="19">
        <v>1402.07</v>
      </c>
      <c r="E118" s="20">
        <v>0</v>
      </c>
      <c r="F118" s="20">
        <v>0</v>
      </c>
      <c r="G118" s="20">
        <v>0</v>
      </c>
      <c r="H118" s="20">
        <v>0</v>
      </c>
      <c r="I118" s="20">
        <v>0</v>
      </c>
      <c r="J118" s="20">
        <v>0</v>
      </c>
      <c r="K118" s="1">
        <v>0</v>
      </c>
      <c r="L118" s="1">
        <v>0</v>
      </c>
      <c r="M118" s="1">
        <v>0</v>
      </c>
      <c r="N118" s="20">
        <v>0</v>
      </c>
      <c r="O118" s="20">
        <v>0</v>
      </c>
      <c r="P118" s="1">
        <v>0</v>
      </c>
      <c r="Q118" s="20">
        <v>0</v>
      </c>
      <c r="R118" s="20">
        <v>0</v>
      </c>
      <c r="S118" s="1">
        <v>0</v>
      </c>
      <c r="T118" s="20">
        <v>0</v>
      </c>
      <c r="U118" s="1">
        <v>0</v>
      </c>
      <c r="V118" s="1">
        <v>0</v>
      </c>
      <c r="W118" s="1">
        <v>0</v>
      </c>
      <c r="X118" s="1">
        <v>0</v>
      </c>
    </row>
    <row r="119" spans="1:24" x14ac:dyDescent="0.25">
      <c r="A119" s="1">
        <v>88</v>
      </c>
      <c r="B119" s="1">
        <v>186</v>
      </c>
      <c r="C119" s="19">
        <v>73</v>
      </c>
      <c r="D119" s="19">
        <v>1255.2</v>
      </c>
      <c r="E119" s="20">
        <v>0</v>
      </c>
      <c r="F119" s="20">
        <v>0</v>
      </c>
      <c r="G119" s="20">
        <v>0</v>
      </c>
      <c r="H119" s="20">
        <v>0</v>
      </c>
      <c r="I119" s="20">
        <v>0</v>
      </c>
      <c r="J119" s="20">
        <v>0</v>
      </c>
      <c r="K119" s="1">
        <v>0</v>
      </c>
      <c r="L119" s="1">
        <v>0</v>
      </c>
      <c r="M119" s="1">
        <v>0</v>
      </c>
      <c r="N119" s="20">
        <v>0</v>
      </c>
      <c r="O119" s="20">
        <v>0</v>
      </c>
      <c r="P119" s="1">
        <v>0</v>
      </c>
      <c r="Q119" s="20">
        <v>0</v>
      </c>
      <c r="R119" s="20">
        <v>0</v>
      </c>
      <c r="S119" s="1">
        <v>0</v>
      </c>
      <c r="T119" s="20">
        <v>0</v>
      </c>
      <c r="U119" s="1">
        <v>0</v>
      </c>
      <c r="V119" s="1">
        <v>0</v>
      </c>
      <c r="W119" s="1">
        <v>0</v>
      </c>
      <c r="X119" s="1">
        <v>0</v>
      </c>
    </row>
    <row r="120" spans="1:24" x14ac:dyDescent="0.25">
      <c r="A120" s="1">
        <v>89</v>
      </c>
      <c r="B120" s="1">
        <v>1279</v>
      </c>
      <c r="C120" s="19">
        <v>73</v>
      </c>
      <c r="D120" s="19">
        <v>1415.6</v>
      </c>
      <c r="E120" s="20">
        <v>0</v>
      </c>
      <c r="F120" s="20">
        <v>0</v>
      </c>
      <c r="G120" s="20">
        <v>0</v>
      </c>
      <c r="H120" s="20">
        <v>0</v>
      </c>
      <c r="I120" s="20">
        <v>0</v>
      </c>
      <c r="J120" s="20">
        <v>0</v>
      </c>
      <c r="K120" s="1">
        <v>0</v>
      </c>
      <c r="L120" s="1">
        <v>0</v>
      </c>
      <c r="M120" s="1">
        <v>0</v>
      </c>
      <c r="N120" s="20">
        <v>0</v>
      </c>
      <c r="O120" s="20">
        <v>0</v>
      </c>
      <c r="P120" s="1">
        <v>0</v>
      </c>
      <c r="Q120" s="20">
        <v>0</v>
      </c>
      <c r="R120" s="20">
        <v>0</v>
      </c>
      <c r="S120" s="1">
        <v>0</v>
      </c>
      <c r="T120" s="20">
        <v>0</v>
      </c>
      <c r="U120" s="1">
        <v>0</v>
      </c>
      <c r="V120" s="1">
        <v>0</v>
      </c>
      <c r="W120" s="1">
        <v>0</v>
      </c>
      <c r="X120" s="1">
        <v>0</v>
      </c>
    </row>
    <row r="121" spans="1:24" x14ac:dyDescent="0.25">
      <c r="C121" s="19"/>
      <c r="D121" s="19"/>
      <c r="E121" s="20"/>
      <c r="F121" s="20"/>
      <c r="G121" s="20"/>
      <c r="H121" s="20"/>
      <c r="I121" s="20"/>
      <c r="J121" s="20"/>
      <c r="N121" s="30" t="s">
        <v>40</v>
      </c>
      <c r="O121" s="20"/>
      <c r="Q121" s="20"/>
      <c r="R121" s="20"/>
      <c r="T121" s="20"/>
    </row>
    <row r="122" spans="1:24" x14ac:dyDescent="0.25">
      <c r="A122" s="1">
        <v>90</v>
      </c>
      <c r="B122" s="1">
        <v>1621</v>
      </c>
      <c r="C122" s="19">
        <v>168.3</v>
      </c>
      <c r="D122" s="19">
        <v>1216.7</v>
      </c>
      <c r="E122" s="20">
        <v>0</v>
      </c>
      <c r="F122" s="20">
        <v>0</v>
      </c>
      <c r="G122" s="20">
        <v>0</v>
      </c>
      <c r="H122" s="20">
        <v>0</v>
      </c>
      <c r="I122" s="20">
        <v>0</v>
      </c>
      <c r="J122" s="20">
        <v>0</v>
      </c>
      <c r="K122" s="1">
        <v>0</v>
      </c>
      <c r="L122" s="1">
        <v>0</v>
      </c>
      <c r="M122" s="1">
        <v>0</v>
      </c>
      <c r="N122" s="20">
        <v>0</v>
      </c>
      <c r="O122" s="20">
        <v>0</v>
      </c>
      <c r="P122" s="1">
        <v>0</v>
      </c>
      <c r="Q122" s="20">
        <v>0</v>
      </c>
      <c r="R122" s="22">
        <v>4899333.716</v>
      </c>
      <c r="S122" s="1">
        <v>4490</v>
      </c>
      <c r="T122" s="22">
        <v>4903823.716</v>
      </c>
      <c r="U122" s="1">
        <v>0</v>
      </c>
      <c r="V122" s="1">
        <v>0</v>
      </c>
      <c r="W122" s="1">
        <v>0</v>
      </c>
      <c r="X122" s="1">
        <v>0</v>
      </c>
    </row>
    <row r="123" spans="1:24" x14ac:dyDescent="0.25">
      <c r="A123" s="1">
        <v>91</v>
      </c>
      <c r="B123" s="1">
        <v>1862</v>
      </c>
      <c r="C123" s="19">
        <v>168.3</v>
      </c>
      <c r="D123" s="19">
        <v>1199.3</v>
      </c>
      <c r="E123" s="20">
        <v>0</v>
      </c>
      <c r="F123" s="20">
        <v>0</v>
      </c>
      <c r="G123" s="20">
        <v>0</v>
      </c>
      <c r="H123" s="20">
        <v>0</v>
      </c>
      <c r="I123" s="20">
        <v>0</v>
      </c>
      <c r="J123" s="20">
        <v>0</v>
      </c>
      <c r="K123" s="1">
        <v>0</v>
      </c>
      <c r="L123" s="1">
        <v>0</v>
      </c>
      <c r="M123" s="1">
        <v>0</v>
      </c>
      <c r="N123" s="20">
        <v>0</v>
      </c>
      <c r="O123" s="20">
        <v>0</v>
      </c>
      <c r="P123" s="1">
        <v>0</v>
      </c>
      <c r="Q123" s="20">
        <v>0</v>
      </c>
      <c r="R123" s="22">
        <v>351054</v>
      </c>
      <c r="S123" s="1">
        <v>2740</v>
      </c>
      <c r="T123" s="22">
        <v>353794</v>
      </c>
      <c r="U123" s="1">
        <v>0</v>
      </c>
      <c r="V123" s="1">
        <v>0</v>
      </c>
      <c r="W123" s="1">
        <v>0</v>
      </c>
      <c r="X123" s="1">
        <v>0</v>
      </c>
    </row>
    <row r="124" spans="1:24" x14ac:dyDescent="0.25">
      <c r="C124" s="19"/>
      <c r="D124" s="19"/>
      <c r="E124" s="20"/>
      <c r="F124" s="20"/>
      <c r="G124" s="20"/>
      <c r="H124" s="20"/>
      <c r="I124" s="20"/>
      <c r="J124" s="20"/>
      <c r="N124" s="20"/>
      <c r="O124" s="20"/>
      <c r="Q124" s="20"/>
      <c r="R124" s="20"/>
      <c r="T124" s="20"/>
    </row>
    <row r="125" spans="1:24" x14ac:dyDescent="0.25">
      <c r="A125" s="28" t="s">
        <v>41</v>
      </c>
      <c r="B125" s="23"/>
      <c r="C125" s="23"/>
      <c r="D125" s="23"/>
      <c r="E125" s="23"/>
      <c r="F125" s="23">
        <v>1.42</v>
      </c>
      <c r="G125" s="23"/>
      <c r="H125" s="23">
        <v>1.31</v>
      </c>
      <c r="I125" s="23">
        <v>9</v>
      </c>
      <c r="J125" s="23">
        <v>3.9</v>
      </c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</row>
    <row r="126" spans="1:24" x14ac:dyDescent="0.25">
      <c r="A126" s="28" t="s">
        <v>42</v>
      </c>
      <c r="B126" s="23"/>
      <c r="C126" s="23"/>
      <c r="D126" s="23"/>
      <c r="E126" s="23"/>
      <c r="F126" s="23"/>
      <c r="G126" s="23"/>
      <c r="H126" s="23"/>
      <c r="I126" s="23"/>
      <c r="J126" s="23"/>
      <c r="K126" s="23">
        <v>305094.96600000001</v>
      </c>
      <c r="L126" s="23">
        <v>107</v>
      </c>
      <c r="M126" s="23">
        <v>305201.96600000001</v>
      </c>
      <c r="N126" s="23">
        <v>142</v>
      </c>
      <c r="O126" s="23">
        <v>1866492.0619999999</v>
      </c>
      <c r="P126" s="23">
        <v>1322</v>
      </c>
      <c r="Q126" s="23">
        <v>1867814.0619999999</v>
      </c>
      <c r="R126" s="23">
        <v>408774180.49400002</v>
      </c>
      <c r="S126" s="23">
        <v>385475</v>
      </c>
      <c r="T126" s="23">
        <v>409159655.49400002</v>
      </c>
      <c r="U126" s="23">
        <v>51425</v>
      </c>
      <c r="V126" s="23">
        <v>718</v>
      </c>
      <c r="W126" s="23">
        <v>52143</v>
      </c>
      <c r="X126" s="23"/>
    </row>
    <row r="127" spans="1:24" x14ac:dyDescent="0.25">
      <c r="A127" s="29" t="s">
        <v>43</v>
      </c>
    </row>
    <row r="128" spans="1:24" x14ac:dyDescent="0.25">
      <c r="A128" s="29" t="s">
        <v>44</v>
      </c>
      <c r="K128" s="1">
        <v>47.802</v>
      </c>
      <c r="M128" s="1">
        <v>47.802</v>
      </c>
      <c r="O128" s="1">
        <v>555.70299999999997</v>
      </c>
      <c r="Q128" s="1">
        <v>555.70299999999997</v>
      </c>
      <c r="R128" s="1">
        <v>5564.1530000000002</v>
      </c>
      <c r="T128" s="1">
        <v>5564.1530000000002</v>
      </c>
    </row>
    <row r="129" spans="1:24" x14ac:dyDescent="0.25">
      <c r="A129" s="29" t="s">
        <v>45</v>
      </c>
      <c r="L129" s="1">
        <v>107</v>
      </c>
      <c r="M129" s="1">
        <v>107</v>
      </c>
      <c r="P129" s="1">
        <v>1322</v>
      </c>
      <c r="Q129" s="1">
        <v>1322</v>
      </c>
      <c r="S129" s="1">
        <v>385475</v>
      </c>
      <c r="T129" s="1">
        <v>385475</v>
      </c>
    </row>
    <row r="130" spans="1:24" x14ac:dyDescent="0.25">
      <c r="A130" s="29" t="s">
        <v>46</v>
      </c>
      <c r="K130" s="1">
        <v>305047.16399999999</v>
      </c>
      <c r="M130" s="1">
        <v>305047.16399999999</v>
      </c>
      <c r="O130" s="1">
        <v>1865936.3589999999</v>
      </c>
      <c r="Q130" s="1">
        <v>1865936.3589999999</v>
      </c>
      <c r="R130" s="1">
        <v>408768616.34100002</v>
      </c>
      <c r="T130" s="1">
        <v>408768616.34100002</v>
      </c>
    </row>
    <row r="131" spans="1:24" x14ac:dyDescent="0.25">
      <c r="A131" s="29"/>
    </row>
    <row r="132" spans="1:24" x14ac:dyDescent="0.25">
      <c r="A132" s="29" t="s">
        <v>47</v>
      </c>
      <c r="K132" s="1">
        <v>707907.33700000006</v>
      </c>
      <c r="L132" s="1">
        <v>629</v>
      </c>
      <c r="M132" s="1">
        <v>708536.33700000006</v>
      </c>
    </row>
    <row r="133" spans="1:24" x14ac:dyDescent="0.25">
      <c r="A133" s="29" t="s">
        <v>48</v>
      </c>
      <c r="K133" s="1">
        <v>124.313</v>
      </c>
      <c r="M133" s="1">
        <v>124.313</v>
      </c>
    </row>
    <row r="134" spans="1:24" x14ac:dyDescent="0.25">
      <c r="A134" s="29" t="s">
        <v>49</v>
      </c>
      <c r="L134" s="1">
        <v>629</v>
      </c>
      <c r="M134" s="1">
        <v>629</v>
      </c>
    </row>
    <row r="135" spans="1:24" x14ac:dyDescent="0.25">
      <c r="A135" s="29" t="s">
        <v>50</v>
      </c>
      <c r="K135" s="1">
        <v>707783.02399999998</v>
      </c>
      <c r="M135" s="1">
        <v>707783.02399999998</v>
      </c>
    </row>
    <row r="136" spans="1:24" x14ac:dyDescent="0.25">
      <c r="A136" s="29"/>
    </row>
    <row r="137" spans="1:24" x14ac:dyDescent="0.25">
      <c r="A137" s="29" t="s">
        <v>51</v>
      </c>
      <c r="H137" s="39">
        <v>52143</v>
      </c>
      <c r="I137" s="40"/>
    </row>
    <row r="138" spans="1:24" x14ac:dyDescent="0.25">
      <c r="A138" s="31" t="s">
        <v>52</v>
      </c>
      <c r="B138" s="2"/>
      <c r="C138" s="2"/>
      <c r="D138" s="2"/>
      <c r="E138" s="2"/>
      <c r="F138" s="2"/>
      <c r="G138" s="2"/>
      <c r="H138" s="41">
        <v>0.98599999999999999</v>
      </c>
      <c r="I138" s="4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</sheetData>
  <mergeCells count="11">
    <mergeCell ref="H137:I137"/>
    <mergeCell ref="H138:I138"/>
    <mergeCell ref="U6:V6"/>
    <mergeCell ref="W6:W7"/>
    <mergeCell ref="X6:X7"/>
    <mergeCell ref="R6:T6"/>
    <mergeCell ref="A6:A7"/>
    <mergeCell ref="B6:B7"/>
    <mergeCell ref="E6:J6"/>
    <mergeCell ref="K6:M6"/>
    <mergeCell ref="O6:Q6"/>
  </mergeCells>
  <pageMargins left="1.5748031496062993" right="0.39370078740157483" top="0.78740157480314965" bottom="0.78740157480314965" header="0.51181102362204722" footer="0.31496062992125984"/>
  <pageSetup paperSize="8" scale="84" orientation="landscape" r:id="rId1"/>
  <headerFooter alignWithMargins="0">
    <oddHeader>&amp;RСтраница &amp;P
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2"/>
  <sheetViews>
    <sheetView topLeftCell="A84" zoomScale="90" zoomScaleNormal="90" zoomScaleSheetLayoutView="55" workbookViewId="0">
      <selection activeCell="G121" sqref="G121"/>
    </sheetView>
  </sheetViews>
  <sheetFormatPr defaultColWidth="9.109375" defaultRowHeight="13.2" x14ac:dyDescent="0.25"/>
  <cols>
    <col min="1" max="1" width="4.33203125" style="1" customWidth="1"/>
    <col min="2" max="2" width="6.33203125" style="1" customWidth="1"/>
    <col min="3" max="3" width="8" style="1" customWidth="1"/>
    <col min="4" max="6" width="5.6640625" style="1" customWidth="1"/>
    <col min="7" max="7" width="6.33203125" style="1" customWidth="1"/>
    <col min="8" max="9" width="5.6640625" style="1" customWidth="1"/>
    <col min="10" max="10" width="13.88671875" style="1" customWidth="1"/>
    <col min="11" max="11" width="11.88671875" style="1" customWidth="1"/>
    <col min="12" max="12" width="14" style="1" customWidth="1"/>
    <col min="13" max="13" width="7.44140625" style="1" customWidth="1"/>
    <col min="14" max="14" width="13.6640625" style="1" customWidth="1"/>
    <col min="15" max="15" width="12" style="1" customWidth="1"/>
    <col min="16" max="16" width="13.6640625" style="1" customWidth="1"/>
    <col min="17" max="17" width="17.33203125" style="1" customWidth="1"/>
    <col min="18" max="18" width="12.88671875" style="1" customWidth="1"/>
    <col min="19" max="19" width="17.6640625" style="1" customWidth="1"/>
    <col min="20" max="20" width="8.44140625" style="1" customWidth="1"/>
    <col min="21" max="21" width="5.6640625" style="1" customWidth="1"/>
    <col min="22" max="22" width="8.33203125" style="1" customWidth="1"/>
    <col min="23" max="23" width="5.109375" style="1" customWidth="1"/>
    <col min="24" max="16384" width="9.109375" style="1"/>
  </cols>
  <sheetData>
    <row r="1" spans="1:23" ht="15.6" x14ac:dyDescent="0.25">
      <c r="S1" s="17" t="s">
        <v>23</v>
      </c>
    </row>
    <row r="2" spans="1:23" s="14" customFormat="1" ht="13.8" x14ac:dyDescent="0.25">
      <c r="A2" s="14" t="s">
        <v>64</v>
      </c>
      <c r="M2" s="15" t="s">
        <v>22</v>
      </c>
    </row>
    <row r="3" spans="1:23" s="14" customFormat="1" ht="13.8" x14ac:dyDescent="0.25">
      <c r="A3" s="14" t="s">
        <v>60</v>
      </c>
      <c r="M3" s="15" t="s">
        <v>61</v>
      </c>
    </row>
    <row r="4" spans="1:23" x14ac:dyDescent="0.25">
      <c r="J4" s="12"/>
      <c r="L4" s="18" t="s">
        <v>53</v>
      </c>
      <c r="M4" s="16" t="s">
        <v>62</v>
      </c>
    </row>
    <row r="5" spans="1:23" ht="48" customHeight="1" x14ac:dyDescent="0.25">
      <c r="A5" s="32" t="s">
        <v>1</v>
      </c>
      <c r="B5" s="3" t="s">
        <v>5</v>
      </c>
      <c r="C5" s="3" t="s">
        <v>12</v>
      </c>
      <c r="D5" s="34" t="s">
        <v>0</v>
      </c>
      <c r="E5" s="35"/>
      <c r="F5" s="35"/>
      <c r="G5" s="35"/>
      <c r="H5" s="36"/>
      <c r="I5" s="37"/>
      <c r="J5" s="34" t="s">
        <v>26</v>
      </c>
      <c r="K5" s="36"/>
      <c r="L5" s="37"/>
      <c r="M5" s="4" t="s">
        <v>6</v>
      </c>
      <c r="N5" s="34" t="s">
        <v>27</v>
      </c>
      <c r="O5" s="35"/>
      <c r="P5" s="38"/>
      <c r="Q5" s="34" t="s">
        <v>28</v>
      </c>
      <c r="R5" s="36"/>
      <c r="S5" s="37"/>
      <c r="T5" s="43" t="s">
        <v>2</v>
      </c>
      <c r="U5" s="36"/>
      <c r="V5" s="32" t="s">
        <v>8</v>
      </c>
      <c r="W5" s="32" t="s">
        <v>9</v>
      </c>
    </row>
    <row r="6" spans="1:23" ht="24.75" customHeight="1" x14ac:dyDescent="0.25">
      <c r="A6" s="33"/>
      <c r="B6" s="5" t="s">
        <v>10</v>
      </c>
      <c r="C6" s="5" t="s">
        <v>11</v>
      </c>
      <c r="D6" s="6" t="s">
        <v>18</v>
      </c>
      <c r="E6" s="7" t="s">
        <v>19</v>
      </c>
      <c r="F6" s="7" t="s">
        <v>20</v>
      </c>
      <c r="G6" s="7" t="s">
        <v>21</v>
      </c>
      <c r="H6" s="7" t="s">
        <v>3</v>
      </c>
      <c r="I6" s="7" t="s">
        <v>4</v>
      </c>
      <c r="J6" s="7" t="s">
        <v>14</v>
      </c>
      <c r="K6" s="8" t="s">
        <v>17</v>
      </c>
      <c r="L6" s="7" t="s">
        <v>16</v>
      </c>
      <c r="M6" s="5" t="s">
        <v>13</v>
      </c>
      <c r="N6" s="7" t="s">
        <v>14</v>
      </c>
      <c r="O6" s="8" t="s">
        <v>17</v>
      </c>
      <c r="P6" s="7" t="s">
        <v>15</v>
      </c>
      <c r="Q6" s="7" t="s">
        <v>14</v>
      </c>
      <c r="R6" s="8" t="s">
        <v>17</v>
      </c>
      <c r="S6" s="7" t="s">
        <v>15</v>
      </c>
      <c r="T6" s="7" t="s">
        <v>24</v>
      </c>
      <c r="U6" s="13" t="s">
        <v>25</v>
      </c>
      <c r="V6" s="33"/>
      <c r="W6" s="33"/>
    </row>
    <row r="7" spans="1:23" s="11" customFormat="1" ht="10.199999999999999" x14ac:dyDescent="0.2">
      <c r="A7" s="10">
        <v>1</v>
      </c>
      <c r="B7" s="10">
        <v>3</v>
      </c>
      <c r="C7" s="10">
        <v>4</v>
      </c>
      <c r="D7" s="10">
        <v>5</v>
      </c>
      <c r="E7" s="10">
        <v>6</v>
      </c>
      <c r="F7" s="10">
        <v>7</v>
      </c>
      <c r="G7" s="10">
        <v>8</v>
      </c>
      <c r="H7" s="10">
        <v>9</v>
      </c>
      <c r="I7" s="10">
        <v>10</v>
      </c>
      <c r="J7" s="10">
        <v>11</v>
      </c>
      <c r="K7" s="10">
        <v>12</v>
      </c>
      <c r="L7" s="10">
        <v>13</v>
      </c>
      <c r="M7" s="10">
        <v>14</v>
      </c>
      <c r="N7" s="10">
        <v>15</v>
      </c>
      <c r="O7" s="10">
        <v>16</v>
      </c>
      <c r="P7" s="10">
        <v>17</v>
      </c>
      <c r="Q7" s="10">
        <v>18</v>
      </c>
      <c r="R7" s="10">
        <v>19</v>
      </c>
      <c r="S7" s="10">
        <v>20</v>
      </c>
      <c r="T7" s="10">
        <v>21</v>
      </c>
      <c r="U7" s="10">
        <v>22</v>
      </c>
      <c r="V7" s="10">
        <v>23</v>
      </c>
      <c r="W7" s="10">
        <v>24</v>
      </c>
    </row>
    <row r="8" spans="1:23" x14ac:dyDescent="0.25">
      <c r="M8" s="18" t="s">
        <v>30</v>
      </c>
    </row>
    <row r="9" spans="1:23" x14ac:dyDescent="0.25">
      <c r="A9" s="1">
        <v>1</v>
      </c>
      <c r="B9" s="19">
        <v>101.6</v>
      </c>
      <c r="C9" s="19">
        <v>1143.5999999999999</v>
      </c>
      <c r="D9" s="21">
        <v>0</v>
      </c>
      <c r="E9" s="21">
        <v>0.85</v>
      </c>
      <c r="F9" s="21">
        <v>1.0900000000000001</v>
      </c>
      <c r="G9" s="21">
        <v>0.83</v>
      </c>
      <c r="H9" s="19">
        <v>9.6</v>
      </c>
      <c r="I9" s="19">
        <v>-3.2</v>
      </c>
      <c r="J9" s="1">
        <v>7420.891520000001</v>
      </c>
      <c r="K9" s="1">
        <v>0</v>
      </c>
      <c r="L9" s="1">
        <v>3710.4457600000005</v>
      </c>
      <c r="M9" s="20">
        <v>106.86799999999999</v>
      </c>
      <c r="N9" s="1">
        <v>29760.865120000002</v>
      </c>
      <c r="O9" s="1">
        <v>3</v>
      </c>
      <c r="P9" s="1">
        <v>29764.225120000003</v>
      </c>
      <c r="Q9" s="1">
        <v>10692314.682560002</v>
      </c>
      <c r="R9" s="1">
        <v>10307.36</v>
      </c>
      <c r="S9" s="1">
        <v>10702622.042560002</v>
      </c>
      <c r="T9" s="1">
        <v>744</v>
      </c>
      <c r="U9" s="1">
        <v>0</v>
      </c>
      <c r="V9" s="1">
        <v>744</v>
      </c>
      <c r="W9" s="1">
        <v>0</v>
      </c>
    </row>
    <row r="10" spans="1:23" x14ac:dyDescent="0.25">
      <c r="A10" s="1">
        <v>2</v>
      </c>
      <c r="B10" s="19">
        <v>73</v>
      </c>
      <c r="C10" s="19">
        <v>1113.8</v>
      </c>
      <c r="D10" s="21">
        <v>0</v>
      </c>
      <c r="E10" s="21">
        <v>0.84</v>
      </c>
      <c r="F10" s="21">
        <v>1.1100000000000001</v>
      </c>
      <c r="G10" s="21">
        <v>0.83</v>
      </c>
      <c r="H10" s="19">
        <v>2.5</v>
      </c>
      <c r="I10" s="19">
        <v>-3.2</v>
      </c>
      <c r="J10" s="1">
        <v>2557.7507200000005</v>
      </c>
      <c r="K10" s="1">
        <v>2</v>
      </c>
      <c r="L10" s="1">
        <v>1281.1153600000002</v>
      </c>
      <c r="M10" s="20">
        <v>36.884</v>
      </c>
      <c r="N10" s="1">
        <v>11397.45824</v>
      </c>
      <c r="O10" s="1">
        <v>10</v>
      </c>
      <c r="P10" s="1">
        <v>11408.658240000001</v>
      </c>
      <c r="Q10" s="1">
        <v>5974620.8256000001</v>
      </c>
      <c r="R10" s="1">
        <v>18849.600000000002</v>
      </c>
      <c r="S10" s="1">
        <v>5993470.4256000007</v>
      </c>
      <c r="T10" s="1">
        <v>743</v>
      </c>
      <c r="U10" s="1">
        <v>1</v>
      </c>
      <c r="V10" s="1">
        <v>744</v>
      </c>
      <c r="W10" s="1">
        <v>341</v>
      </c>
    </row>
    <row r="11" spans="1:23" x14ac:dyDescent="0.25">
      <c r="A11" s="1">
        <v>3</v>
      </c>
      <c r="B11" s="19">
        <v>168</v>
      </c>
      <c r="C11" s="19">
        <v>1113.17</v>
      </c>
      <c r="D11" s="21">
        <v>0</v>
      </c>
      <c r="E11" s="21">
        <v>0.84</v>
      </c>
      <c r="F11" s="21">
        <v>1.03</v>
      </c>
      <c r="G11" s="21">
        <v>0.83</v>
      </c>
      <c r="H11" s="19">
        <v>2</v>
      </c>
      <c r="I11" s="19">
        <v>-3.2</v>
      </c>
      <c r="J11" s="1">
        <v>9312.8336000000018</v>
      </c>
      <c r="K11" s="1">
        <v>7</v>
      </c>
      <c r="L11" s="1">
        <v>4664.256800000001</v>
      </c>
      <c r="M11" s="20">
        <v>134.29400000000001</v>
      </c>
      <c r="N11" s="1">
        <v>44993.172000000006</v>
      </c>
      <c r="O11" s="1">
        <v>100</v>
      </c>
      <c r="P11" s="1">
        <v>45105.172000000006</v>
      </c>
      <c r="Q11" s="1">
        <v>9169220.0376000013</v>
      </c>
      <c r="R11" s="1">
        <v>8683.36</v>
      </c>
      <c r="S11" s="1">
        <v>9177903.3976000007</v>
      </c>
      <c r="T11" s="1">
        <v>743</v>
      </c>
      <c r="U11" s="1">
        <v>1</v>
      </c>
      <c r="V11" s="1">
        <v>744</v>
      </c>
      <c r="W11" s="1">
        <v>341</v>
      </c>
    </row>
    <row r="12" spans="1:23" x14ac:dyDescent="0.25">
      <c r="A12" s="1">
        <v>4</v>
      </c>
      <c r="B12" s="19">
        <v>89</v>
      </c>
      <c r="C12" s="19">
        <v>1166.8499999999999</v>
      </c>
      <c r="D12" s="21">
        <v>0</v>
      </c>
      <c r="E12" s="21">
        <v>0.91</v>
      </c>
      <c r="F12" s="21">
        <v>1.2</v>
      </c>
      <c r="G12" s="21">
        <v>0.9</v>
      </c>
      <c r="H12" s="19">
        <v>9</v>
      </c>
      <c r="I12" s="19">
        <v>1.3</v>
      </c>
      <c r="J12" s="1">
        <v>5253.7296000000006</v>
      </c>
      <c r="K12" s="1">
        <v>0</v>
      </c>
      <c r="L12" s="1">
        <v>2626.8648000000003</v>
      </c>
      <c r="M12" s="20">
        <v>75.659000000000006</v>
      </c>
      <c r="N12" s="1">
        <v>18308.305120000001</v>
      </c>
      <c r="O12" s="1">
        <v>3</v>
      </c>
      <c r="P12" s="1">
        <v>18311.665120000001</v>
      </c>
      <c r="Q12" s="1">
        <v>8150796.53584</v>
      </c>
      <c r="R12" s="1">
        <v>7497.2800000000007</v>
      </c>
      <c r="S12" s="1">
        <v>8158293.8158400003</v>
      </c>
      <c r="T12" s="1">
        <v>744</v>
      </c>
      <c r="U12" s="1">
        <v>0</v>
      </c>
      <c r="V12" s="1">
        <v>744</v>
      </c>
      <c r="W12" s="1">
        <v>0</v>
      </c>
    </row>
    <row r="13" spans="1:23" x14ac:dyDescent="0.25">
      <c r="A13" s="1">
        <v>5</v>
      </c>
      <c r="B13" s="19">
        <v>89</v>
      </c>
      <c r="C13" s="19">
        <v>1174.45</v>
      </c>
      <c r="D13" s="21">
        <v>0</v>
      </c>
      <c r="E13" s="21">
        <v>0.91</v>
      </c>
      <c r="F13" s="21">
        <v>1.07</v>
      </c>
      <c r="G13" s="21">
        <v>0.9</v>
      </c>
      <c r="H13" s="19">
        <v>8</v>
      </c>
      <c r="I13" s="19">
        <v>1.3</v>
      </c>
      <c r="J13" s="1">
        <v>4005.9667200000004</v>
      </c>
      <c r="K13" s="1">
        <v>0</v>
      </c>
      <c r="L13" s="1">
        <v>2002.9833600000002</v>
      </c>
      <c r="M13" s="20">
        <v>57.69</v>
      </c>
      <c r="N13" s="1">
        <v>15930.160960000001</v>
      </c>
      <c r="O13" s="1">
        <v>3</v>
      </c>
      <c r="P13" s="1">
        <v>15933.520960000002</v>
      </c>
      <c r="Q13" s="1">
        <v>6804082.78816</v>
      </c>
      <c r="R13" s="1">
        <v>11652.480000000001</v>
      </c>
      <c r="S13" s="1">
        <v>6815735.2681600004</v>
      </c>
      <c r="T13" s="1">
        <v>744</v>
      </c>
      <c r="U13" s="1">
        <v>0</v>
      </c>
      <c r="V13" s="1">
        <v>744</v>
      </c>
      <c r="W13" s="1">
        <v>0</v>
      </c>
    </row>
    <row r="14" spans="1:23" x14ac:dyDescent="0.25">
      <c r="A14" s="1">
        <v>6</v>
      </c>
      <c r="B14" s="19">
        <v>168.3</v>
      </c>
      <c r="C14" s="19">
        <v>1182.5999999999999</v>
      </c>
      <c r="D14" s="21">
        <v>0</v>
      </c>
      <c r="E14" s="21">
        <v>1.08</v>
      </c>
      <c r="F14" s="21">
        <v>0</v>
      </c>
      <c r="G14" s="21">
        <v>0.9</v>
      </c>
      <c r="H14" s="19">
        <v>17</v>
      </c>
      <c r="I14" s="19">
        <v>1.3</v>
      </c>
      <c r="J14" s="1">
        <v>16286.558400000002</v>
      </c>
      <c r="K14" s="1">
        <v>0</v>
      </c>
      <c r="L14" s="1">
        <v>8143.2792000000009</v>
      </c>
      <c r="M14" s="20">
        <v>234.541</v>
      </c>
      <c r="N14" s="1">
        <v>64476.62816</v>
      </c>
      <c r="O14" s="1">
        <v>3</v>
      </c>
      <c r="P14" s="1">
        <v>64479.988160000001</v>
      </c>
      <c r="Q14" s="1">
        <v>11502103.458720002</v>
      </c>
      <c r="R14" s="1">
        <v>8531.0400000000009</v>
      </c>
      <c r="S14" s="1">
        <v>11510634.498720001</v>
      </c>
      <c r="T14" s="1">
        <v>744</v>
      </c>
      <c r="U14" s="1">
        <v>0</v>
      </c>
      <c r="V14" s="1">
        <v>744</v>
      </c>
      <c r="W14" s="1">
        <v>0</v>
      </c>
    </row>
    <row r="15" spans="1:23" x14ac:dyDescent="0.25">
      <c r="A15" s="1">
        <v>7</v>
      </c>
      <c r="B15" s="19">
        <v>89</v>
      </c>
      <c r="C15" s="19">
        <v>1170</v>
      </c>
      <c r="D15" s="21">
        <v>0</v>
      </c>
      <c r="E15" s="21">
        <v>0.91</v>
      </c>
      <c r="F15" s="21">
        <v>1.06</v>
      </c>
      <c r="G15" s="21">
        <v>0.9</v>
      </c>
      <c r="H15" s="19">
        <v>5.8</v>
      </c>
      <c r="I15" s="19">
        <v>1.3</v>
      </c>
      <c r="J15" s="1">
        <v>3869.4185600000005</v>
      </c>
      <c r="K15" s="1">
        <v>2</v>
      </c>
      <c r="L15" s="1">
        <v>1936.9492800000003</v>
      </c>
      <c r="M15" s="20">
        <v>55.798000000000002</v>
      </c>
      <c r="N15" s="1">
        <v>15404.334400000002</v>
      </c>
      <c r="O15" s="1">
        <v>5</v>
      </c>
      <c r="P15" s="1">
        <v>15409.934400000002</v>
      </c>
      <c r="Q15" s="1">
        <v>7640654.4580800012</v>
      </c>
      <c r="R15" s="1">
        <v>11194.400000000001</v>
      </c>
      <c r="S15" s="1">
        <v>7651848.8580800006</v>
      </c>
      <c r="T15" s="1">
        <v>743</v>
      </c>
      <c r="U15" s="1">
        <v>1</v>
      </c>
      <c r="V15" s="1">
        <v>744</v>
      </c>
      <c r="W15" s="1">
        <v>341</v>
      </c>
    </row>
    <row r="16" spans="1:23" x14ac:dyDescent="0.25">
      <c r="A16" s="1">
        <v>8</v>
      </c>
      <c r="B16" s="19">
        <v>89</v>
      </c>
      <c r="C16" s="19">
        <v>1175</v>
      </c>
      <c r="D16" s="21">
        <v>0</v>
      </c>
      <c r="E16" s="21">
        <v>0.91</v>
      </c>
      <c r="F16" s="21">
        <v>1.1499999999999999</v>
      </c>
      <c r="G16" s="21">
        <v>0.9</v>
      </c>
      <c r="H16" s="19">
        <v>8.5</v>
      </c>
      <c r="I16" s="19">
        <v>1.3</v>
      </c>
      <c r="J16" s="1">
        <v>5056.7126399999997</v>
      </c>
      <c r="K16" s="1">
        <v>0</v>
      </c>
      <c r="L16" s="1">
        <v>2528.3563199999999</v>
      </c>
      <c r="M16" s="20">
        <v>72.820999999999998</v>
      </c>
      <c r="N16" s="1">
        <v>17583.699840000001</v>
      </c>
      <c r="O16" s="1">
        <v>3</v>
      </c>
      <c r="P16" s="1">
        <v>17587.059840000002</v>
      </c>
      <c r="Q16" s="1">
        <v>8409124.4776000008</v>
      </c>
      <c r="R16" s="1">
        <v>9208.6400000000012</v>
      </c>
      <c r="S16" s="1">
        <v>8418333.1176000014</v>
      </c>
      <c r="T16" s="1">
        <v>744</v>
      </c>
      <c r="U16" s="1">
        <v>0</v>
      </c>
      <c r="V16" s="1">
        <v>744</v>
      </c>
      <c r="W16" s="1">
        <v>0</v>
      </c>
    </row>
    <row r="17" spans="1:23" x14ac:dyDescent="0.25">
      <c r="A17" s="1">
        <v>9</v>
      </c>
      <c r="B17" s="19">
        <v>168</v>
      </c>
      <c r="C17" s="19">
        <v>1156.76</v>
      </c>
      <c r="D17" s="21">
        <v>0</v>
      </c>
      <c r="E17" s="21">
        <v>0.91</v>
      </c>
      <c r="F17" s="21">
        <v>1.08</v>
      </c>
      <c r="G17" s="21">
        <v>0.9</v>
      </c>
      <c r="H17" s="19">
        <v>0.2</v>
      </c>
      <c r="I17" s="19">
        <v>2</v>
      </c>
      <c r="J17" s="1">
        <v>9490.6067199999998</v>
      </c>
      <c r="K17" s="1">
        <v>6</v>
      </c>
      <c r="L17" s="1">
        <v>4752.0233600000001</v>
      </c>
      <c r="M17" s="20">
        <v>151.31700000000001</v>
      </c>
      <c r="N17" s="1">
        <v>40132.937600000005</v>
      </c>
      <c r="O17" s="1">
        <v>44</v>
      </c>
      <c r="P17" s="1">
        <v>40182.217600000011</v>
      </c>
      <c r="Q17" s="1">
        <v>8899491.8835199997</v>
      </c>
      <c r="R17" s="1">
        <v>12380.480000000001</v>
      </c>
      <c r="S17" s="1">
        <v>8911872.3635200001</v>
      </c>
      <c r="T17" s="1">
        <v>672</v>
      </c>
      <c r="U17" s="1">
        <v>71</v>
      </c>
      <c r="V17" s="1">
        <v>744</v>
      </c>
      <c r="W17" s="1">
        <v>314</v>
      </c>
    </row>
    <row r="18" spans="1:23" x14ac:dyDescent="0.25">
      <c r="B18" s="19"/>
      <c r="C18" s="19"/>
      <c r="D18" s="21"/>
      <c r="E18" s="21"/>
      <c r="F18" s="21"/>
      <c r="G18" s="21"/>
      <c r="H18" s="19"/>
      <c r="I18" s="19"/>
      <c r="J18" s="1">
        <v>0</v>
      </c>
      <c r="L18" s="1">
        <v>0</v>
      </c>
      <c r="M18" s="20"/>
      <c r="N18" s="1">
        <v>0</v>
      </c>
      <c r="P18" s="1">
        <v>0</v>
      </c>
      <c r="Q18" s="1">
        <v>0</v>
      </c>
      <c r="R18" s="1">
        <v>0</v>
      </c>
      <c r="S18" s="1">
        <v>0</v>
      </c>
      <c r="U18" s="1">
        <v>1</v>
      </c>
      <c r="W18" s="1">
        <v>341</v>
      </c>
    </row>
    <row r="19" spans="1:23" x14ac:dyDescent="0.25">
      <c r="A19" s="1">
        <v>10</v>
      </c>
      <c r="B19" s="19">
        <v>89</v>
      </c>
      <c r="C19" s="19">
        <v>1160</v>
      </c>
      <c r="D19" s="21">
        <v>0</v>
      </c>
      <c r="E19" s="21">
        <v>0.91</v>
      </c>
      <c r="F19" s="21">
        <v>1.1000000000000001</v>
      </c>
      <c r="G19" s="21">
        <v>0.9</v>
      </c>
      <c r="H19" s="19">
        <v>7</v>
      </c>
      <c r="I19" s="19">
        <v>2</v>
      </c>
      <c r="J19" s="1">
        <v>5181.0841600000003</v>
      </c>
      <c r="K19" s="1">
        <v>3</v>
      </c>
      <c r="L19" s="1">
        <v>2593.9020800000003</v>
      </c>
      <c r="M19" s="20">
        <v>74.712999999999994</v>
      </c>
      <c r="N19" s="1">
        <v>18458.89472</v>
      </c>
      <c r="O19" s="1">
        <v>24</v>
      </c>
      <c r="P19" s="1">
        <v>18485.774720000001</v>
      </c>
      <c r="Q19" s="1">
        <v>8366844.0990400007</v>
      </c>
      <c r="R19" s="1">
        <v>7148.9600000000009</v>
      </c>
      <c r="S19" s="1">
        <v>8373993.0590400007</v>
      </c>
      <c r="T19" s="1">
        <v>743</v>
      </c>
      <c r="U19" s="1">
        <v>1</v>
      </c>
      <c r="V19" s="1">
        <v>744</v>
      </c>
      <c r="W19" s="1">
        <v>341</v>
      </c>
    </row>
    <row r="20" spans="1:23" x14ac:dyDescent="0.25">
      <c r="A20" s="1">
        <v>11</v>
      </c>
      <c r="B20" s="19">
        <v>168.3</v>
      </c>
      <c r="C20" s="19">
        <v>1140.67</v>
      </c>
      <c r="D20" s="21">
        <v>0</v>
      </c>
      <c r="E20" s="21">
        <v>0.92</v>
      </c>
      <c r="F20" s="21">
        <v>1</v>
      </c>
      <c r="G20" s="21">
        <v>0.9</v>
      </c>
      <c r="H20" s="19">
        <v>16</v>
      </c>
      <c r="I20" s="19">
        <v>2</v>
      </c>
      <c r="J20" s="1">
        <v>10376.114560000002</v>
      </c>
      <c r="K20" s="1">
        <v>0</v>
      </c>
      <c r="L20" s="1">
        <v>5188.0572800000009</v>
      </c>
      <c r="M20" s="20">
        <v>149.42599999999999</v>
      </c>
      <c r="N20" s="1">
        <v>38197.154240000003</v>
      </c>
      <c r="O20" s="1">
        <v>27</v>
      </c>
      <c r="P20" s="1">
        <v>38227.394240000001</v>
      </c>
      <c r="Q20" s="1">
        <v>11926351.932320001</v>
      </c>
      <c r="R20" s="1">
        <v>6286.56</v>
      </c>
      <c r="S20" s="1">
        <v>11932638.492320001</v>
      </c>
      <c r="T20" s="1">
        <v>744</v>
      </c>
      <c r="U20" s="1">
        <v>0</v>
      </c>
      <c r="V20" s="1">
        <v>744</v>
      </c>
      <c r="W20" s="1">
        <v>0</v>
      </c>
    </row>
    <row r="21" spans="1:23" x14ac:dyDescent="0.25">
      <c r="A21" s="1">
        <v>12</v>
      </c>
      <c r="B21" s="19">
        <v>168.3</v>
      </c>
      <c r="C21" s="19">
        <v>1171.7</v>
      </c>
      <c r="D21" s="21">
        <v>0</v>
      </c>
      <c r="E21" s="21">
        <v>0.91</v>
      </c>
      <c r="F21" s="21">
        <v>0</v>
      </c>
      <c r="G21" s="21">
        <v>0.9</v>
      </c>
      <c r="H21" s="19">
        <v>6</v>
      </c>
      <c r="I21" s="19">
        <v>2</v>
      </c>
      <c r="J21" s="1">
        <v>9378.4185600000001</v>
      </c>
      <c r="K21" s="1">
        <v>6</v>
      </c>
      <c r="L21" s="1">
        <v>4695.9292800000003</v>
      </c>
      <c r="M21" s="20">
        <v>135.24</v>
      </c>
      <c r="N21" s="1">
        <v>37215.904320000001</v>
      </c>
      <c r="O21" s="1">
        <v>19</v>
      </c>
      <c r="P21" s="1">
        <v>37237.18432</v>
      </c>
      <c r="Q21" s="1">
        <v>11324927.701920001</v>
      </c>
      <c r="R21" s="1">
        <v>5704.1600000000008</v>
      </c>
      <c r="S21" s="1">
        <v>11330631.861920001</v>
      </c>
      <c r="T21" s="1">
        <v>743</v>
      </c>
      <c r="U21" s="1">
        <v>1</v>
      </c>
      <c r="V21" s="1">
        <v>744</v>
      </c>
      <c r="W21" s="1">
        <v>341</v>
      </c>
    </row>
    <row r="22" spans="1:23" x14ac:dyDescent="0.25">
      <c r="A22" s="1">
        <v>13</v>
      </c>
      <c r="B22" s="19">
        <v>114</v>
      </c>
      <c r="C22" s="19">
        <v>1149.7</v>
      </c>
      <c r="D22" s="21">
        <v>0</v>
      </c>
      <c r="E22" s="21">
        <v>0.84</v>
      </c>
      <c r="F22" s="21">
        <v>1.1000000000000001</v>
      </c>
      <c r="G22" s="21">
        <v>0.83</v>
      </c>
      <c r="H22" s="19">
        <v>8.8000000000000007</v>
      </c>
      <c r="I22" s="19">
        <v>3.8</v>
      </c>
      <c r="J22" s="1">
        <v>7158.206720000001</v>
      </c>
      <c r="K22" s="1">
        <v>0</v>
      </c>
      <c r="L22" s="1">
        <v>3579.1033600000005</v>
      </c>
      <c r="M22" s="20">
        <v>103.08499999999999</v>
      </c>
      <c r="N22" s="1">
        <v>28993.003200000003</v>
      </c>
      <c r="O22" s="1">
        <v>22</v>
      </c>
      <c r="P22" s="1">
        <v>29017.643200000002</v>
      </c>
      <c r="Q22" s="1">
        <v>8549598.8032000009</v>
      </c>
      <c r="R22" s="1">
        <v>9243.36</v>
      </c>
      <c r="S22" s="1">
        <v>8558842.1632000003</v>
      </c>
      <c r="T22" s="1">
        <v>744</v>
      </c>
      <c r="U22" s="1">
        <v>0</v>
      </c>
      <c r="V22" s="1">
        <v>744</v>
      </c>
      <c r="W22" s="1">
        <v>0</v>
      </c>
    </row>
    <row r="23" spans="1:23" x14ac:dyDescent="0.25">
      <c r="A23" s="1">
        <v>14</v>
      </c>
      <c r="B23" s="19">
        <v>168.3</v>
      </c>
      <c r="C23" s="19">
        <v>1168.2</v>
      </c>
      <c r="D23" s="21">
        <v>0.85</v>
      </c>
      <c r="E23" s="21">
        <v>0.84</v>
      </c>
      <c r="F23" s="21">
        <v>1.05</v>
      </c>
      <c r="G23" s="21">
        <v>0.83</v>
      </c>
      <c r="H23" s="19">
        <v>11</v>
      </c>
      <c r="I23" s="19">
        <v>3.8</v>
      </c>
      <c r="J23" s="1">
        <v>12955.04672</v>
      </c>
      <c r="K23" s="1">
        <v>8</v>
      </c>
      <c r="L23" s="1">
        <v>6486.4833600000002</v>
      </c>
      <c r="M23" s="20">
        <v>191.98400000000001</v>
      </c>
      <c r="N23" s="1">
        <v>50505.973280000006</v>
      </c>
      <c r="O23" s="1">
        <v>69</v>
      </c>
      <c r="P23" s="1">
        <v>50583.253280000004</v>
      </c>
      <c r="Q23" s="1">
        <v>9800263.0656000022</v>
      </c>
      <c r="R23" s="1">
        <v>6460.1600000000008</v>
      </c>
      <c r="S23" s="1">
        <v>9806723.2256000023</v>
      </c>
      <c r="T23" s="1">
        <v>723</v>
      </c>
      <c r="U23" s="1">
        <v>20</v>
      </c>
      <c r="V23" s="1">
        <v>744</v>
      </c>
      <c r="W23" s="1">
        <v>314</v>
      </c>
    </row>
    <row r="24" spans="1:23" x14ac:dyDescent="0.25">
      <c r="B24" s="19"/>
      <c r="C24" s="19"/>
      <c r="D24" s="21"/>
      <c r="E24" s="21"/>
      <c r="F24" s="21"/>
      <c r="G24" s="21"/>
      <c r="H24" s="19"/>
      <c r="I24" s="19"/>
      <c r="J24" s="1">
        <v>0</v>
      </c>
      <c r="L24" s="1">
        <v>0</v>
      </c>
      <c r="M24" s="20"/>
      <c r="N24" s="1">
        <v>0</v>
      </c>
      <c r="P24" s="1">
        <v>0</v>
      </c>
      <c r="Q24" s="1">
        <v>0</v>
      </c>
      <c r="R24" s="1">
        <v>0</v>
      </c>
      <c r="S24" s="1">
        <v>0</v>
      </c>
      <c r="U24" s="1">
        <v>1</v>
      </c>
      <c r="W24" s="1">
        <v>341</v>
      </c>
    </row>
    <row r="25" spans="1:23" x14ac:dyDescent="0.25">
      <c r="A25" s="1">
        <v>15</v>
      </c>
      <c r="B25" s="19">
        <v>101.6</v>
      </c>
      <c r="C25" s="19">
        <v>1134.8</v>
      </c>
      <c r="D25" s="21">
        <v>0</v>
      </c>
      <c r="E25" s="21">
        <v>0.84</v>
      </c>
      <c r="F25" s="21">
        <v>1.07</v>
      </c>
      <c r="G25" s="21">
        <v>0.83</v>
      </c>
      <c r="H25" s="19">
        <v>3.5</v>
      </c>
      <c r="I25" s="19">
        <v>3.8</v>
      </c>
      <c r="J25" s="1">
        <v>4202.9836800000003</v>
      </c>
      <c r="K25" s="1">
        <v>0</v>
      </c>
      <c r="L25" s="1">
        <v>2101.4918400000001</v>
      </c>
      <c r="M25" s="20">
        <v>60.527000000000001</v>
      </c>
      <c r="N25" s="1">
        <v>17803.254560000001</v>
      </c>
      <c r="O25" s="1">
        <v>13</v>
      </c>
      <c r="P25" s="1">
        <v>17817.814560000003</v>
      </c>
      <c r="Q25" s="1">
        <v>9471200.4240000006</v>
      </c>
      <c r="R25" s="1">
        <v>8890.5600000000013</v>
      </c>
      <c r="S25" s="1">
        <v>9480090.9839999992</v>
      </c>
      <c r="T25" s="1">
        <v>744</v>
      </c>
      <c r="U25" s="1">
        <v>0</v>
      </c>
      <c r="V25" s="1">
        <v>744</v>
      </c>
      <c r="W25" s="1">
        <v>0</v>
      </c>
    </row>
    <row r="26" spans="1:23" x14ac:dyDescent="0.25">
      <c r="A26" s="1">
        <v>16</v>
      </c>
      <c r="B26" s="19">
        <v>101.6</v>
      </c>
      <c r="C26" s="19">
        <v>1125</v>
      </c>
      <c r="D26" s="21">
        <v>1.03</v>
      </c>
      <c r="E26" s="21">
        <v>0.96</v>
      </c>
      <c r="F26" s="21">
        <v>1.1399999999999999</v>
      </c>
      <c r="G26" s="21">
        <v>0.89</v>
      </c>
      <c r="H26" s="19">
        <v>11.8</v>
      </c>
      <c r="I26" s="19">
        <v>-1.4</v>
      </c>
      <c r="J26" s="1">
        <v>8405.9651200000008</v>
      </c>
      <c r="K26" s="1">
        <v>0</v>
      </c>
      <c r="L26" s="1">
        <v>4202.9825600000004</v>
      </c>
      <c r="M26" s="20">
        <v>121.054</v>
      </c>
      <c r="N26" s="1">
        <v>16998.490880000001</v>
      </c>
      <c r="O26" s="1">
        <v>0</v>
      </c>
      <c r="P26" s="1">
        <v>16998.490880000001</v>
      </c>
      <c r="Q26" s="1">
        <v>7247466.7764800014</v>
      </c>
      <c r="R26" s="1">
        <v>17526.88</v>
      </c>
      <c r="S26" s="1">
        <v>7264993.6564800013</v>
      </c>
      <c r="T26" s="1">
        <v>744</v>
      </c>
      <c r="U26" s="1">
        <v>0</v>
      </c>
      <c r="V26" s="1">
        <v>744</v>
      </c>
      <c r="W26" s="1">
        <v>0</v>
      </c>
    </row>
    <row r="27" spans="1:23" x14ac:dyDescent="0.25">
      <c r="A27" s="1">
        <v>17</v>
      </c>
      <c r="B27" s="19">
        <v>101.6</v>
      </c>
      <c r="C27" s="19">
        <v>1122.5</v>
      </c>
      <c r="D27" s="21">
        <v>0.4</v>
      </c>
      <c r="E27" s="21">
        <v>0.96</v>
      </c>
      <c r="F27" s="21">
        <v>1.1499999999999999</v>
      </c>
      <c r="G27" s="21">
        <v>0.89</v>
      </c>
      <c r="H27" s="19">
        <v>7.2</v>
      </c>
      <c r="I27" s="19">
        <v>-1.4</v>
      </c>
      <c r="J27" s="1">
        <v>6238.8032000000003</v>
      </c>
      <c r="K27" s="1">
        <v>0</v>
      </c>
      <c r="L27" s="1">
        <v>3119.4016000000001</v>
      </c>
      <c r="M27" s="20">
        <v>89.844999999999999</v>
      </c>
      <c r="N27" s="1">
        <v>12612.439840000001</v>
      </c>
      <c r="O27" s="1">
        <v>0</v>
      </c>
      <c r="P27" s="1">
        <v>12612.439840000001</v>
      </c>
      <c r="Q27" s="1">
        <v>7715751.8446400007</v>
      </c>
      <c r="R27" s="1">
        <v>7068.3200000000006</v>
      </c>
      <c r="S27" s="1">
        <v>7722820.164640001</v>
      </c>
      <c r="T27" s="1">
        <v>744</v>
      </c>
      <c r="U27" s="1">
        <v>0</v>
      </c>
      <c r="V27" s="1">
        <v>744</v>
      </c>
      <c r="W27" s="1">
        <v>0</v>
      </c>
    </row>
    <row r="28" spans="1:23" x14ac:dyDescent="0.25">
      <c r="A28" s="1">
        <v>18</v>
      </c>
      <c r="B28" s="19">
        <v>101.6</v>
      </c>
      <c r="C28" s="19">
        <v>1150.2</v>
      </c>
      <c r="D28" s="21">
        <v>0</v>
      </c>
      <c r="E28" s="21">
        <v>0.96</v>
      </c>
      <c r="F28" s="21">
        <v>1.2</v>
      </c>
      <c r="G28" s="21">
        <v>0.89</v>
      </c>
      <c r="H28" s="19">
        <v>8</v>
      </c>
      <c r="I28" s="19">
        <v>-1.4</v>
      </c>
      <c r="J28" s="1">
        <v>5319.4019200000012</v>
      </c>
      <c r="K28" s="1">
        <v>0</v>
      </c>
      <c r="L28" s="1">
        <v>2659.7009600000006</v>
      </c>
      <c r="M28" s="20">
        <v>76.603999999999999</v>
      </c>
      <c r="N28" s="1">
        <v>10765.63824</v>
      </c>
      <c r="O28" s="1">
        <v>3</v>
      </c>
      <c r="P28" s="1">
        <v>10768.998240000001</v>
      </c>
      <c r="Q28" s="1">
        <v>6055678.1913600005</v>
      </c>
      <c r="R28" s="1">
        <v>3755.3600000000006</v>
      </c>
      <c r="S28" s="1">
        <v>6059433.5513600009</v>
      </c>
      <c r="T28" s="1">
        <v>744</v>
      </c>
      <c r="U28" s="1">
        <v>0</v>
      </c>
      <c r="V28" s="1">
        <v>744</v>
      </c>
      <c r="W28" s="1">
        <v>0</v>
      </c>
    </row>
    <row r="29" spans="1:23" x14ac:dyDescent="0.25">
      <c r="A29" s="1">
        <v>19</v>
      </c>
      <c r="B29" s="19">
        <v>101.6</v>
      </c>
      <c r="C29" s="19">
        <v>1157.9000000000001</v>
      </c>
      <c r="D29" s="21">
        <v>0</v>
      </c>
      <c r="E29" s="21">
        <v>0.9</v>
      </c>
      <c r="F29" s="21">
        <v>1.08</v>
      </c>
      <c r="G29" s="21">
        <v>0.89</v>
      </c>
      <c r="H29" s="19">
        <v>9</v>
      </c>
      <c r="I29" s="19">
        <v>-0.6</v>
      </c>
      <c r="J29" s="1">
        <v>5910.4438399999999</v>
      </c>
      <c r="K29" s="1">
        <v>0</v>
      </c>
      <c r="L29" s="1">
        <v>2955.22192</v>
      </c>
      <c r="M29" s="20">
        <v>85.116</v>
      </c>
      <c r="N29" s="1">
        <v>18445.169120000002</v>
      </c>
      <c r="O29" s="1">
        <v>6</v>
      </c>
      <c r="P29" s="1">
        <v>18451.889120000003</v>
      </c>
      <c r="Q29" s="1">
        <v>8856346.28816</v>
      </c>
      <c r="R29" s="1">
        <v>7888.1600000000008</v>
      </c>
      <c r="S29" s="1">
        <v>8864234.4481600001</v>
      </c>
      <c r="T29" s="1">
        <v>744</v>
      </c>
      <c r="U29" s="1">
        <v>0</v>
      </c>
      <c r="V29" s="1">
        <v>744</v>
      </c>
      <c r="W29" s="1">
        <v>0</v>
      </c>
    </row>
    <row r="30" spans="1:23" x14ac:dyDescent="0.25">
      <c r="A30" s="1">
        <v>20</v>
      </c>
      <c r="B30" s="19">
        <v>101.6</v>
      </c>
      <c r="C30" s="19">
        <v>1163.71</v>
      </c>
      <c r="D30" s="21">
        <v>0</v>
      </c>
      <c r="E30" s="21">
        <v>0.9</v>
      </c>
      <c r="F30" s="21">
        <v>1.06</v>
      </c>
      <c r="G30" s="21">
        <v>0.89</v>
      </c>
      <c r="H30" s="19">
        <v>7.8</v>
      </c>
      <c r="I30" s="19">
        <v>-0.6</v>
      </c>
      <c r="J30" s="1">
        <v>6107.45856</v>
      </c>
      <c r="K30" s="1">
        <v>0</v>
      </c>
      <c r="L30" s="1">
        <v>3053.72928</v>
      </c>
      <c r="M30" s="20">
        <v>87.953000000000003</v>
      </c>
      <c r="N30" s="1">
        <v>21585.412800000002</v>
      </c>
      <c r="O30" s="1">
        <v>3</v>
      </c>
      <c r="P30" s="1">
        <v>21588.772799999999</v>
      </c>
      <c r="Q30" s="1">
        <v>7989303.22064</v>
      </c>
      <c r="R30" s="1">
        <v>10382.400000000001</v>
      </c>
      <c r="S30" s="1">
        <v>7999685.6206400003</v>
      </c>
      <c r="T30" s="1">
        <v>744</v>
      </c>
      <c r="U30" s="1">
        <v>0</v>
      </c>
      <c r="V30" s="1">
        <v>744</v>
      </c>
      <c r="W30" s="1">
        <v>0</v>
      </c>
    </row>
    <row r="31" spans="1:23" x14ac:dyDescent="0.25">
      <c r="A31" s="1">
        <v>21</v>
      </c>
      <c r="B31" s="19">
        <v>101.6</v>
      </c>
      <c r="C31" s="19">
        <v>1152.7</v>
      </c>
      <c r="D31" s="21">
        <v>0</v>
      </c>
      <c r="E31" s="21">
        <v>0.9</v>
      </c>
      <c r="F31" s="21">
        <v>1.05</v>
      </c>
      <c r="G31" s="21">
        <v>0.89</v>
      </c>
      <c r="H31" s="19">
        <v>7</v>
      </c>
      <c r="I31" s="19">
        <v>-0.6</v>
      </c>
      <c r="J31" s="1">
        <v>2889.5507200000006</v>
      </c>
      <c r="K31" s="1">
        <v>0</v>
      </c>
      <c r="L31" s="1">
        <v>1444.7753600000003</v>
      </c>
      <c r="M31" s="20">
        <v>41.612000000000002</v>
      </c>
      <c r="N31" s="1">
        <v>10212.982080000002</v>
      </c>
      <c r="O31" s="1">
        <v>3</v>
      </c>
      <c r="P31" s="1">
        <v>10216.342080000002</v>
      </c>
      <c r="Q31" s="1">
        <v>6799786.4905600008</v>
      </c>
      <c r="R31" s="1">
        <v>9198.5600000000013</v>
      </c>
      <c r="S31" s="1">
        <v>6808985.0505600004</v>
      </c>
      <c r="T31" s="1">
        <v>744</v>
      </c>
      <c r="U31" s="1">
        <v>0</v>
      </c>
      <c r="V31" s="1">
        <v>744</v>
      </c>
      <c r="W31" s="1">
        <v>0</v>
      </c>
    </row>
    <row r="32" spans="1:23" x14ac:dyDescent="0.25">
      <c r="A32" s="1">
        <v>22</v>
      </c>
      <c r="B32" s="19">
        <v>89</v>
      </c>
      <c r="C32" s="19">
        <v>920</v>
      </c>
      <c r="D32" s="21">
        <v>0.97</v>
      </c>
      <c r="E32" s="21">
        <v>0.9</v>
      </c>
      <c r="F32" s="21">
        <v>1.08</v>
      </c>
      <c r="G32" s="21">
        <v>0.89</v>
      </c>
      <c r="H32" s="19">
        <v>-4</v>
      </c>
      <c r="I32" s="19">
        <v>-0.6</v>
      </c>
      <c r="J32" s="1">
        <v>2623.3334400000003</v>
      </c>
      <c r="K32" s="1">
        <v>2</v>
      </c>
      <c r="L32" s="1">
        <v>1313.9067200000002</v>
      </c>
      <c r="M32" s="20">
        <v>37.829000000000001</v>
      </c>
      <c r="N32" s="1">
        <v>10687.82848</v>
      </c>
      <c r="O32" s="1">
        <v>8</v>
      </c>
      <c r="P32" s="1">
        <v>10696.788480000001</v>
      </c>
      <c r="Q32" s="1">
        <v>8399040.3996799998</v>
      </c>
      <c r="R32" s="1">
        <v>8211.84</v>
      </c>
      <c r="S32" s="1">
        <v>8407252.2396799996</v>
      </c>
      <c r="T32" s="1">
        <v>743</v>
      </c>
      <c r="U32" s="1">
        <v>1</v>
      </c>
      <c r="V32" s="1">
        <v>744</v>
      </c>
      <c r="W32" s="1">
        <v>341</v>
      </c>
    </row>
    <row r="33" spans="1:23" x14ac:dyDescent="0.25">
      <c r="B33" s="19">
        <v>73</v>
      </c>
      <c r="C33" s="19">
        <v>1120</v>
      </c>
      <c r="D33" s="21"/>
      <c r="E33" s="21"/>
      <c r="F33" s="21"/>
      <c r="G33" s="21"/>
      <c r="H33" s="19"/>
      <c r="I33" s="19"/>
      <c r="J33" s="1">
        <v>0</v>
      </c>
      <c r="L33" s="1">
        <v>0</v>
      </c>
      <c r="M33" s="20"/>
      <c r="N33" s="1">
        <v>0</v>
      </c>
      <c r="P33" s="1">
        <v>0</v>
      </c>
      <c r="Q33" s="1">
        <v>0</v>
      </c>
      <c r="R33" s="1">
        <v>0</v>
      </c>
      <c r="S33" s="1">
        <v>0</v>
      </c>
    </row>
    <row r="34" spans="1:23" x14ac:dyDescent="0.25">
      <c r="A34" s="1">
        <v>23</v>
      </c>
      <c r="B34" s="19">
        <v>101.6</v>
      </c>
      <c r="C34" s="19">
        <v>1154.4000000000001</v>
      </c>
      <c r="D34" s="21">
        <v>1.04</v>
      </c>
      <c r="E34" s="21">
        <v>0.9</v>
      </c>
      <c r="F34" s="21">
        <v>1.06</v>
      </c>
      <c r="G34" s="21">
        <v>0.89</v>
      </c>
      <c r="H34" s="19">
        <v>8.6</v>
      </c>
      <c r="I34" s="19">
        <v>-0.6</v>
      </c>
      <c r="J34" s="1">
        <v>5056.7126399999997</v>
      </c>
      <c r="K34" s="1">
        <v>0</v>
      </c>
      <c r="L34" s="1">
        <v>2528.3563199999999</v>
      </c>
      <c r="M34" s="20">
        <v>72.820999999999998</v>
      </c>
      <c r="N34" s="1">
        <v>17879.050560000003</v>
      </c>
      <c r="O34" s="1">
        <v>5</v>
      </c>
      <c r="P34" s="1">
        <v>17884.650560000002</v>
      </c>
      <c r="Q34" s="1">
        <v>8250503.0731200008</v>
      </c>
      <c r="R34" s="1">
        <v>9955.68</v>
      </c>
      <c r="S34" s="1">
        <v>8260458.7531200005</v>
      </c>
      <c r="T34" s="1">
        <v>744</v>
      </c>
      <c r="U34" s="1">
        <v>0</v>
      </c>
      <c r="V34" s="1">
        <v>744</v>
      </c>
      <c r="W34" s="1">
        <v>0</v>
      </c>
    </row>
    <row r="35" spans="1:23" x14ac:dyDescent="0.25">
      <c r="A35" s="1">
        <v>24</v>
      </c>
      <c r="B35" s="19">
        <v>168.3</v>
      </c>
      <c r="C35" s="19">
        <v>1158.8</v>
      </c>
      <c r="D35" s="21">
        <v>0</v>
      </c>
      <c r="E35" s="21">
        <v>0.84</v>
      </c>
      <c r="F35" s="21">
        <v>0</v>
      </c>
      <c r="G35" s="21">
        <v>0.83</v>
      </c>
      <c r="H35" s="19">
        <v>10.5</v>
      </c>
      <c r="I35" s="19">
        <v>4.2</v>
      </c>
      <c r="J35" s="1">
        <v>11295.51584</v>
      </c>
      <c r="K35" s="1">
        <v>0</v>
      </c>
      <c r="L35" s="1">
        <v>5647.75792</v>
      </c>
      <c r="M35" s="20">
        <v>162.666</v>
      </c>
      <c r="N35" s="1">
        <v>43417.673600000002</v>
      </c>
      <c r="O35" s="1">
        <v>47</v>
      </c>
      <c r="P35" s="1">
        <v>43470.313600000001</v>
      </c>
      <c r="Q35" s="1">
        <v>10937679.723040001</v>
      </c>
      <c r="R35" s="1">
        <v>11720.800000000001</v>
      </c>
      <c r="S35" s="1">
        <v>10949400.52304</v>
      </c>
      <c r="T35" s="1">
        <v>744</v>
      </c>
      <c r="U35" s="1">
        <v>0</v>
      </c>
      <c r="V35" s="1">
        <v>744</v>
      </c>
      <c r="W35" s="1">
        <v>0</v>
      </c>
    </row>
    <row r="36" spans="1:23" x14ac:dyDescent="0.25">
      <c r="A36" s="1">
        <v>25</v>
      </c>
      <c r="B36" s="19">
        <v>168.3</v>
      </c>
      <c r="C36" s="19">
        <v>1180.5</v>
      </c>
      <c r="D36" s="21">
        <v>0</v>
      </c>
      <c r="E36" s="21">
        <v>0.85</v>
      </c>
      <c r="F36" s="21">
        <v>0</v>
      </c>
      <c r="G36" s="21">
        <v>0.83</v>
      </c>
      <c r="H36" s="19">
        <v>12</v>
      </c>
      <c r="I36" s="19">
        <v>4.2</v>
      </c>
      <c r="J36" s="1">
        <v>8143.2803200000008</v>
      </c>
      <c r="K36" s="1">
        <v>0</v>
      </c>
      <c r="L36" s="1">
        <v>4071.6401600000004</v>
      </c>
      <c r="M36" s="20">
        <v>117.271</v>
      </c>
      <c r="N36" s="1">
        <v>33560.612959999999</v>
      </c>
      <c r="O36" s="1">
        <v>25</v>
      </c>
      <c r="P36" s="1">
        <v>33588.612959999999</v>
      </c>
      <c r="Q36" s="1">
        <v>9039978.0240000002</v>
      </c>
      <c r="R36" s="1">
        <v>10448.480000000001</v>
      </c>
      <c r="S36" s="1">
        <v>9050426.5040000007</v>
      </c>
      <c r="T36" s="1">
        <v>744</v>
      </c>
      <c r="U36" s="1">
        <v>0</v>
      </c>
      <c r="V36" s="1">
        <v>744</v>
      </c>
      <c r="W36" s="1">
        <v>0</v>
      </c>
    </row>
    <row r="37" spans="1:23" x14ac:dyDescent="0.25">
      <c r="A37" s="1">
        <v>26</v>
      </c>
      <c r="B37" s="19">
        <v>101.6</v>
      </c>
      <c r="C37" s="19">
        <v>1150.2</v>
      </c>
      <c r="D37" s="21">
        <v>0</v>
      </c>
      <c r="E37" s="21">
        <v>0.84</v>
      </c>
      <c r="F37" s="21">
        <v>1.18</v>
      </c>
      <c r="G37" s="21">
        <v>0.83</v>
      </c>
      <c r="H37" s="19">
        <v>-1</v>
      </c>
      <c r="I37" s="19">
        <v>4.2</v>
      </c>
      <c r="J37" s="1">
        <v>5377.8345600000002</v>
      </c>
      <c r="K37" s="1">
        <v>3</v>
      </c>
      <c r="L37" s="1">
        <v>2692.2772800000002</v>
      </c>
      <c r="M37" s="20">
        <v>77.55</v>
      </c>
      <c r="N37" s="1">
        <v>19651.185120000002</v>
      </c>
      <c r="O37" s="1">
        <v>21</v>
      </c>
      <c r="P37" s="1">
        <v>19674.705120000002</v>
      </c>
      <c r="Q37" s="1">
        <v>8024847.7724800007</v>
      </c>
      <c r="R37" s="1">
        <v>7001.1200000000008</v>
      </c>
      <c r="S37" s="1">
        <v>8031848.8924800009</v>
      </c>
      <c r="T37" s="1">
        <v>743</v>
      </c>
      <c r="U37" s="1">
        <v>1</v>
      </c>
      <c r="V37" s="1">
        <v>744</v>
      </c>
      <c r="W37" s="1">
        <v>341</v>
      </c>
    </row>
    <row r="38" spans="1:23" x14ac:dyDescent="0.25">
      <c r="A38" s="1">
        <v>27</v>
      </c>
      <c r="B38" s="19">
        <v>168.3</v>
      </c>
      <c r="C38" s="19">
        <v>1176</v>
      </c>
      <c r="D38" s="21">
        <v>0</v>
      </c>
      <c r="E38" s="21">
        <v>0.99</v>
      </c>
      <c r="F38" s="21">
        <v>0</v>
      </c>
      <c r="G38" s="21">
        <v>0.83</v>
      </c>
      <c r="H38" s="19">
        <v>13.2</v>
      </c>
      <c r="I38" s="19">
        <v>4.2</v>
      </c>
      <c r="J38" s="1">
        <v>13134.320640000002</v>
      </c>
      <c r="K38" s="1">
        <v>0</v>
      </c>
      <c r="L38" s="1">
        <v>6567.1603200000009</v>
      </c>
      <c r="M38" s="20">
        <v>189.14599999999999</v>
      </c>
      <c r="N38" s="1">
        <v>52526.624640000002</v>
      </c>
      <c r="O38" s="1">
        <v>74</v>
      </c>
      <c r="P38" s="1">
        <v>52609.504639999999</v>
      </c>
      <c r="Q38" s="1">
        <v>10714826.020640003</v>
      </c>
      <c r="R38" s="1">
        <v>8144.64</v>
      </c>
      <c r="S38" s="1">
        <v>10722970.660640001</v>
      </c>
      <c r="T38" s="1">
        <v>744</v>
      </c>
      <c r="U38" s="1">
        <v>0</v>
      </c>
      <c r="V38" s="1">
        <v>744</v>
      </c>
      <c r="W38" s="1">
        <v>0</v>
      </c>
    </row>
    <row r="39" spans="1:23" x14ac:dyDescent="0.25">
      <c r="A39" s="1">
        <v>28</v>
      </c>
      <c r="B39" s="19">
        <v>89</v>
      </c>
      <c r="C39" s="19">
        <v>1061</v>
      </c>
      <c r="D39" s="21">
        <v>0</v>
      </c>
      <c r="E39" s="21">
        <v>0.84</v>
      </c>
      <c r="F39" s="21">
        <v>1.1599999999999999</v>
      </c>
      <c r="G39" s="21">
        <v>0.83</v>
      </c>
      <c r="H39" s="19">
        <v>4</v>
      </c>
      <c r="I39" s="19">
        <v>4.2</v>
      </c>
      <c r="J39" s="1">
        <v>7083.0009600000012</v>
      </c>
      <c r="K39" s="1">
        <v>4</v>
      </c>
      <c r="L39" s="1">
        <v>3545.9804800000006</v>
      </c>
      <c r="M39" s="20">
        <v>102.139</v>
      </c>
      <c r="N39" s="1">
        <v>27110.731200000002</v>
      </c>
      <c r="O39" s="1">
        <v>15</v>
      </c>
      <c r="P39" s="1">
        <v>27127.531200000001</v>
      </c>
      <c r="Q39" s="1">
        <v>8008630.2396800006</v>
      </c>
      <c r="R39" s="1">
        <v>12304.320000000002</v>
      </c>
      <c r="S39" s="1">
        <v>8020934.5596799999</v>
      </c>
      <c r="T39" s="1">
        <v>743</v>
      </c>
      <c r="U39" s="1">
        <v>1</v>
      </c>
      <c r="V39" s="1">
        <v>744</v>
      </c>
      <c r="W39" s="1">
        <v>341</v>
      </c>
    </row>
    <row r="40" spans="1:23" x14ac:dyDescent="0.25">
      <c r="A40" s="1">
        <v>29</v>
      </c>
      <c r="B40" s="19">
        <v>168.3</v>
      </c>
      <c r="C40" s="19">
        <v>1164.0999999999999</v>
      </c>
      <c r="D40" s="21">
        <v>0</v>
      </c>
      <c r="E40" s="21">
        <v>0.9</v>
      </c>
      <c r="F40" s="21">
        <v>1.1000000000000001</v>
      </c>
      <c r="G40" s="21">
        <v>0.83</v>
      </c>
      <c r="H40" s="19">
        <v>14.6</v>
      </c>
      <c r="I40" s="19">
        <v>5</v>
      </c>
      <c r="J40" s="1">
        <v>10573.127040000001</v>
      </c>
      <c r="K40" s="1">
        <v>3</v>
      </c>
      <c r="L40" s="1">
        <v>5289.9235200000003</v>
      </c>
      <c r="M40" s="20">
        <v>152.26300000000001</v>
      </c>
      <c r="N40" s="1">
        <v>41306.135360000007</v>
      </c>
      <c r="O40" s="1">
        <v>3</v>
      </c>
      <c r="P40" s="1">
        <v>41309.495360000008</v>
      </c>
      <c r="Q40" s="1">
        <v>11379446.177120002</v>
      </c>
      <c r="R40" s="1">
        <v>8725.92</v>
      </c>
      <c r="S40" s="1">
        <v>11388172.097120002</v>
      </c>
      <c r="T40" s="1">
        <v>744</v>
      </c>
      <c r="U40" s="1">
        <v>0</v>
      </c>
      <c r="V40" s="1">
        <v>744</v>
      </c>
      <c r="W40" s="1">
        <v>0</v>
      </c>
    </row>
    <row r="41" spans="1:23" x14ac:dyDescent="0.25">
      <c r="A41" s="1">
        <v>30</v>
      </c>
      <c r="B41" s="19">
        <v>168.3</v>
      </c>
      <c r="C41" s="19">
        <v>1168.8</v>
      </c>
      <c r="D41" s="21">
        <v>0</v>
      </c>
      <c r="E41" s="21">
        <v>0.9</v>
      </c>
      <c r="F41" s="21">
        <v>1.1000000000000001</v>
      </c>
      <c r="G41" s="21">
        <v>0.83</v>
      </c>
      <c r="H41" s="19">
        <v>15</v>
      </c>
      <c r="I41" s="19">
        <v>5</v>
      </c>
      <c r="J41" s="1">
        <v>11098.501120000001</v>
      </c>
      <c r="K41" s="1">
        <v>3</v>
      </c>
      <c r="L41" s="1">
        <v>5552.610560000001</v>
      </c>
      <c r="M41" s="20">
        <v>159.82900000000001</v>
      </c>
      <c r="N41" s="1">
        <v>43207.460800000001</v>
      </c>
      <c r="O41" s="1">
        <v>3</v>
      </c>
      <c r="P41" s="1">
        <v>43210.820800000001</v>
      </c>
      <c r="Q41" s="1">
        <v>11666227.868960001</v>
      </c>
      <c r="R41" s="1">
        <v>7084.0000000000009</v>
      </c>
      <c r="S41" s="1">
        <v>11673311.868960001</v>
      </c>
      <c r="T41" s="1">
        <v>744</v>
      </c>
      <c r="U41" s="1">
        <v>0</v>
      </c>
      <c r="V41" s="1">
        <v>744</v>
      </c>
      <c r="W41" s="1">
        <v>0</v>
      </c>
    </row>
    <row r="42" spans="1:23" x14ac:dyDescent="0.25">
      <c r="A42" s="1">
        <v>31</v>
      </c>
      <c r="B42" s="19">
        <v>101.6</v>
      </c>
      <c r="C42" s="19">
        <v>1154.8</v>
      </c>
      <c r="D42" s="21">
        <v>0</v>
      </c>
      <c r="E42" s="21">
        <v>0.89</v>
      </c>
      <c r="F42" s="21">
        <v>1.0900000000000001</v>
      </c>
      <c r="G42" s="21">
        <v>0.83</v>
      </c>
      <c r="H42" s="19">
        <v>14.2</v>
      </c>
      <c r="I42" s="19">
        <v>5</v>
      </c>
      <c r="J42" s="1">
        <v>7946.2633600000008</v>
      </c>
      <c r="K42" s="1">
        <v>3</v>
      </c>
      <c r="L42" s="1">
        <v>3976.4916800000001</v>
      </c>
      <c r="M42" s="20">
        <v>114.434</v>
      </c>
      <c r="N42" s="1">
        <v>34659.741760000004</v>
      </c>
      <c r="O42" s="1">
        <v>17</v>
      </c>
      <c r="P42" s="1">
        <v>34678.781760000005</v>
      </c>
      <c r="Q42" s="1">
        <v>7007485.1593600009</v>
      </c>
      <c r="R42" s="1">
        <v>18243.68</v>
      </c>
      <c r="S42" s="1">
        <v>7025728.8393600006</v>
      </c>
      <c r="T42" s="1">
        <v>744</v>
      </c>
      <c r="U42" s="1">
        <v>0</v>
      </c>
      <c r="V42" s="1">
        <v>744</v>
      </c>
      <c r="W42" s="1">
        <v>0</v>
      </c>
    </row>
    <row r="43" spans="1:23" x14ac:dyDescent="0.25">
      <c r="A43" s="1">
        <v>32</v>
      </c>
      <c r="B43" s="19">
        <v>168.3</v>
      </c>
      <c r="C43" s="19">
        <v>1166</v>
      </c>
      <c r="D43" s="21">
        <v>0</v>
      </c>
      <c r="E43" s="21">
        <v>0.89</v>
      </c>
      <c r="F43" s="21">
        <v>0.1</v>
      </c>
      <c r="G43" s="21">
        <v>0.83</v>
      </c>
      <c r="H43" s="19">
        <v>15.7</v>
      </c>
      <c r="I43" s="19">
        <v>5</v>
      </c>
      <c r="J43" s="1">
        <v>9785.0681600000007</v>
      </c>
      <c r="K43" s="1">
        <v>0</v>
      </c>
      <c r="L43" s="1">
        <v>4892.5340800000004</v>
      </c>
      <c r="M43" s="20">
        <v>140.91399999999999</v>
      </c>
      <c r="N43" s="1">
        <v>38059.277760000004</v>
      </c>
      <c r="O43" s="1">
        <v>0</v>
      </c>
      <c r="P43" s="1">
        <v>38059.277760000004</v>
      </c>
      <c r="Q43" s="1">
        <v>12177893.862400001</v>
      </c>
      <c r="R43" s="1">
        <v>11067.84</v>
      </c>
      <c r="S43" s="1">
        <v>12188961.702400001</v>
      </c>
      <c r="T43" s="1">
        <v>744</v>
      </c>
      <c r="U43" s="1">
        <v>0</v>
      </c>
      <c r="V43" s="1">
        <v>744</v>
      </c>
      <c r="W43" s="1">
        <v>0</v>
      </c>
    </row>
    <row r="44" spans="1:23" x14ac:dyDescent="0.25">
      <c r="A44" s="1">
        <v>33</v>
      </c>
      <c r="B44" s="19">
        <v>114</v>
      </c>
      <c r="C44" s="19">
        <v>1151.2</v>
      </c>
      <c r="D44" s="21">
        <v>0</v>
      </c>
      <c r="E44" s="21">
        <v>0.87</v>
      </c>
      <c r="F44" s="21">
        <v>1.1200000000000001</v>
      </c>
      <c r="G44" s="21">
        <v>0.83</v>
      </c>
      <c r="H44" s="19">
        <v>10.8</v>
      </c>
      <c r="I44" s="19">
        <v>5</v>
      </c>
      <c r="J44" s="1">
        <v>6698.5049600000002</v>
      </c>
      <c r="K44" s="1">
        <v>0</v>
      </c>
      <c r="L44" s="1">
        <v>3349.2524800000001</v>
      </c>
      <c r="M44" s="20">
        <v>96.465000000000003</v>
      </c>
      <c r="N44" s="1">
        <v>28889.703360000003</v>
      </c>
      <c r="O44" s="1">
        <v>19</v>
      </c>
      <c r="P44" s="1">
        <v>28910.983360000002</v>
      </c>
      <c r="Q44" s="1">
        <v>11324835.112640001</v>
      </c>
      <c r="R44" s="1">
        <v>7089.6</v>
      </c>
      <c r="S44" s="1">
        <v>11331924.712640001</v>
      </c>
      <c r="T44" s="1">
        <v>744</v>
      </c>
      <c r="U44" s="1">
        <v>0</v>
      </c>
      <c r="V44" s="1">
        <v>744</v>
      </c>
      <c r="W44" s="1">
        <v>0</v>
      </c>
    </row>
    <row r="45" spans="1:23" x14ac:dyDescent="0.25">
      <c r="A45" s="1">
        <v>34</v>
      </c>
      <c r="B45" s="19">
        <v>101.6</v>
      </c>
      <c r="C45" s="19">
        <v>1157</v>
      </c>
      <c r="D45" s="21">
        <v>0</v>
      </c>
      <c r="E45" s="21">
        <v>0.91</v>
      </c>
      <c r="F45" s="21">
        <v>0.9</v>
      </c>
      <c r="G45" s="21">
        <v>0.9</v>
      </c>
      <c r="H45" s="19">
        <v>10</v>
      </c>
      <c r="I45" s="19">
        <v>-0.6</v>
      </c>
      <c r="J45" s="1">
        <v>4071.63904</v>
      </c>
      <c r="K45" s="1">
        <v>0</v>
      </c>
      <c r="L45" s="1">
        <v>2035.81952</v>
      </c>
      <c r="M45" s="20">
        <v>58.634999999999998</v>
      </c>
      <c r="N45" s="1">
        <v>16369.896480000001</v>
      </c>
      <c r="O45" s="1">
        <v>12</v>
      </c>
      <c r="P45" s="1">
        <v>16383.33648</v>
      </c>
      <c r="Q45" s="1">
        <v>2957517.0385600002</v>
      </c>
      <c r="R45" s="1">
        <v>4228</v>
      </c>
      <c r="S45" s="1">
        <v>2961745.0385600002</v>
      </c>
      <c r="T45" s="1">
        <v>744</v>
      </c>
      <c r="U45" s="1">
        <v>0</v>
      </c>
      <c r="V45" s="1">
        <v>744</v>
      </c>
      <c r="W45" s="1">
        <v>0</v>
      </c>
    </row>
    <row r="46" spans="1:23" x14ac:dyDescent="0.25">
      <c r="A46" s="1">
        <v>35</v>
      </c>
      <c r="B46" s="19">
        <v>102</v>
      </c>
      <c r="C46" s="19">
        <v>1157.3</v>
      </c>
      <c r="D46" s="21">
        <v>0</v>
      </c>
      <c r="E46" s="21">
        <v>0.91</v>
      </c>
      <c r="F46" s="21">
        <v>1.1000000000000001</v>
      </c>
      <c r="G46" s="21">
        <v>0.9</v>
      </c>
      <c r="H46" s="19">
        <v>6.2</v>
      </c>
      <c r="I46" s="19">
        <v>-0.6</v>
      </c>
      <c r="J46" s="1">
        <v>3250.2153600000006</v>
      </c>
      <c r="K46" s="1">
        <v>2</v>
      </c>
      <c r="L46" s="1">
        <v>1627.3476800000001</v>
      </c>
      <c r="M46" s="20">
        <v>48.231999999999999</v>
      </c>
      <c r="N46" s="1">
        <v>13495.098400000001</v>
      </c>
      <c r="O46" s="1">
        <v>12</v>
      </c>
      <c r="P46" s="1">
        <v>13508.538400000001</v>
      </c>
      <c r="Q46" s="1">
        <v>4651390.4248000002</v>
      </c>
      <c r="R46" s="1">
        <v>6415.3600000000006</v>
      </c>
      <c r="S46" s="1">
        <v>4657805.7848000005</v>
      </c>
      <c r="T46" s="1">
        <v>722</v>
      </c>
      <c r="U46" s="1">
        <v>21</v>
      </c>
      <c r="V46" s="1">
        <v>744</v>
      </c>
      <c r="W46" s="1">
        <v>314</v>
      </c>
    </row>
    <row r="47" spans="1:23" x14ac:dyDescent="0.25">
      <c r="B47" s="19"/>
      <c r="C47" s="19"/>
      <c r="D47" s="21"/>
      <c r="E47" s="21"/>
      <c r="F47" s="21"/>
      <c r="G47" s="21"/>
      <c r="H47" s="19"/>
      <c r="I47" s="19"/>
      <c r="J47" s="1">
        <v>0</v>
      </c>
      <c r="L47" s="1">
        <v>0</v>
      </c>
      <c r="M47" s="20"/>
      <c r="N47" s="1">
        <v>0</v>
      </c>
      <c r="P47" s="1">
        <v>0</v>
      </c>
      <c r="Q47" s="1">
        <v>0</v>
      </c>
      <c r="R47" s="1">
        <v>0</v>
      </c>
      <c r="S47" s="1">
        <v>0</v>
      </c>
      <c r="U47" s="1">
        <v>1</v>
      </c>
      <c r="W47" s="1">
        <v>341</v>
      </c>
    </row>
    <row r="48" spans="1:23" x14ac:dyDescent="0.25">
      <c r="A48" s="1">
        <v>36</v>
      </c>
      <c r="B48" s="19">
        <v>101.6</v>
      </c>
      <c r="C48" s="19">
        <v>1150.2</v>
      </c>
      <c r="D48" s="21">
        <v>0</v>
      </c>
      <c r="E48" s="21">
        <v>0.91</v>
      </c>
      <c r="F48" s="21">
        <v>1.0900000000000001</v>
      </c>
      <c r="G48" s="21">
        <v>0.9</v>
      </c>
      <c r="H48" s="19">
        <v>9</v>
      </c>
      <c r="I48" s="19">
        <v>-0.6</v>
      </c>
      <c r="J48" s="1">
        <v>3808.95424</v>
      </c>
      <c r="K48" s="1">
        <v>0</v>
      </c>
      <c r="L48" s="1">
        <v>1904.47712</v>
      </c>
      <c r="M48" s="20">
        <v>54.851999999999997</v>
      </c>
      <c r="N48" s="1">
        <v>15332.114560000002</v>
      </c>
      <c r="O48" s="1">
        <v>9</v>
      </c>
      <c r="P48" s="1">
        <v>15342.194560000002</v>
      </c>
      <c r="Q48" s="1">
        <v>2632180.6705600005</v>
      </c>
      <c r="R48" s="1">
        <v>5847.52</v>
      </c>
      <c r="S48" s="1">
        <v>2638028.1905600005</v>
      </c>
      <c r="T48" s="1">
        <v>744</v>
      </c>
      <c r="U48" s="1">
        <v>0</v>
      </c>
      <c r="V48" s="1">
        <v>744</v>
      </c>
      <c r="W48" s="1">
        <v>0</v>
      </c>
    </row>
    <row r="49" spans="1:23" x14ac:dyDescent="0.25">
      <c r="A49" s="1">
        <v>37</v>
      </c>
      <c r="B49" s="19">
        <v>101.6</v>
      </c>
      <c r="C49" s="19">
        <v>1157.5</v>
      </c>
      <c r="D49" s="21">
        <v>0.86</v>
      </c>
      <c r="E49" s="21">
        <v>0.91</v>
      </c>
      <c r="F49" s="21">
        <v>1.1399999999999999</v>
      </c>
      <c r="G49" s="21">
        <v>0.9</v>
      </c>
      <c r="H49" s="19">
        <v>3.5</v>
      </c>
      <c r="I49" s="19">
        <v>-0.6</v>
      </c>
      <c r="J49" s="1">
        <v>3568.8643200000001</v>
      </c>
      <c r="K49" s="1">
        <v>2</v>
      </c>
      <c r="L49" s="1">
        <v>1786.6721600000001</v>
      </c>
      <c r="M49" s="20">
        <v>52.960999999999999</v>
      </c>
      <c r="N49" s="1">
        <v>12543.27536</v>
      </c>
      <c r="O49" s="1">
        <v>16</v>
      </c>
      <c r="P49" s="1">
        <v>12561.19536</v>
      </c>
      <c r="Q49" s="1">
        <v>3240618.5022400003</v>
      </c>
      <c r="R49" s="1">
        <v>7589.1200000000008</v>
      </c>
      <c r="S49" s="1">
        <v>3248207.6222399999</v>
      </c>
      <c r="T49" s="1">
        <v>722</v>
      </c>
      <c r="U49" s="1">
        <v>21</v>
      </c>
      <c r="V49" s="1">
        <v>744</v>
      </c>
      <c r="W49" s="1">
        <v>314</v>
      </c>
    </row>
    <row r="50" spans="1:23" x14ac:dyDescent="0.25">
      <c r="B50" s="19"/>
      <c r="C50" s="19"/>
      <c r="D50" s="21"/>
      <c r="E50" s="21"/>
      <c r="F50" s="21"/>
      <c r="G50" s="21"/>
      <c r="H50" s="19"/>
      <c r="I50" s="19"/>
      <c r="J50" s="1">
        <v>0</v>
      </c>
      <c r="L50" s="1">
        <v>0</v>
      </c>
      <c r="M50" s="20"/>
      <c r="N50" s="1">
        <v>0</v>
      </c>
      <c r="P50" s="1">
        <v>0</v>
      </c>
      <c r="Q50" s="1">
        <v>0</v>
      </c>
      <c r="R50" s="1">
        <v>0</v>
      </c>
      <c r="S50" s="1">
        <v>0</v>
      </c>
      <c r="U50" s="1">
        <v>1</v>
      </c>
      <c r="W50" s="1">
        <v>341</v>
      </c>
    </row>
    <row r="51" spans="1:23" x14ac:dyDescent="0.25">
      <c r="A51" s="1">
        <v>38</v>
      </c>
      <c r="B51" s="19">
        <v>89</v>
      </c>
      <c r="C51" s="19">
        <v>1155</v>
      </c>
      <c r="D51" s="21">
        <v>1.2</v>
      </c>
      <c r="E51" s="21">
        <v>1.08</v>
      </c>
      <c r="F51" s="21">
        <v>1.29</v>
      </c>
      <c r="G51" s="21">
        <v>0.9</v>
      </c>
      <c r="H51" s="19">
        <v>9</v>
      </c>
      <c r="I51" s="19">
        <v>1.3</v>
      </c>
      <c r="J51" s="1">
        <v>6370.1456000000007</v>
      </c>
      <c r="K51" s="1">
        <v>0</v>
      </c>
      <c r="L51" s="1">
        <v>3185.0728000000004</v>
      </c>
      <c r="M51" s="20">
        <v>91.736000000000004</v>
      </c>
      <c r="N51" s="1">
        <v>25616.915520000002</v>
      </c>
      <c r="O51" s="1">
        <v>3</v>
      </c>
      <c r="P51" s="1">
        <v>25620.275520000003</v>
      </c>
      <c r="Q51" s="1">
        <v>3403950.9425600003</v>
      </c>
      <c r="R51" s="1">
        <v>6186.880000000001</v>
      </c>
      <c r="S51" s="1">
        <v>3410137.8225600007</v>
      </c>
      <c r="T51" s="1">
        <v>744</v>
      </c>
      <c r="U51" s="1">
        <v>0</v>
      </c>
      <c r="V51" s="1">
        <v>744</v>
      </c>
      <c r="W51" s="1">
        <v>0</v>
      </c>
    </row>
    <row r="52" spans="1:23" x14ac:dyDescent="0.25">
      <c r="A52" s="1">
        <v>39</v>
      </c>
      <c r="B52" s="19">
        <v>168.3</v>
      </c>
      <c r="C52" s="19">
        <v>1152.2</v>
      </c>
      <c r="D52" s="21">
        <v>0</v>
      </c>
      <c r="E52" s="21">
        <v>1.0900000000000001</v>
      </c>
      <c r="F52" s="21">
        <v>0</v>
      </c>
      <c r="G52" s="21">
        <v>0.9</v>
      </c>
      <c r="H52" s="19">
        <v>14.6</v>
      </c>
      <c r="I52" s="19">
        <v>1.3</v>
      </c>
      <c r="J52" s="1">
        <v>10244.769920000001</v>
      </c>
      <c r="K52" s="1">
        <v>0</v>
      </c>
      <c r="L52" s="1">
        <v>5122.3849600000003</v>
      </c>
      <c r="M52" s="20">
        <v>147.53399999999999</v>
      </c>
      <c r="N52" s="1">
        <v>47855.003840000005</v>
      </c>
      <c r="O52" s="1">
        <v>22</v>
      </c>
      <c r="P52" s="1">
        <v>47879.643840000004</v>
      </c>
      <c r="Q52" s="1">
        <v>8116093.4624000005</v>
      </c>
      <c r="R52" s="1">
        <v>5508.1600000000008</v>
      </c>
      <c r="S52" s="1">
        <v>8121601.6224000007</v>
      </c>
      <c r="T52" s="1">
        <v>744</v>
      </c>
      <c r="U52" s="1">
        <v>0</v>
      </c>
      <c r="V52" s="1">
        <v>744</v>
      </c>
      <c r="W52" s="1">
        <v>0</v>
      </c>
    </row>
    <row r="53" spans="1:23" x14ac:dyDescent="0.25">
      <c r="A53" s="1">
        <v>40</v>
      </c>
      <c r="B53" s="19">
        <v>168.3</v>
      </c>
      <c r="C53" s="19">
        <v>1196</v>
      </c>
      <c r="D53" s="21">
        <v>0</v>
      </c>
      <c r="E53" s="21">
        <v>1.08</v>
      </c>
      <c r="F53" s="21">
        <v>0</v>
      </c>
      <c r="G53" s="21">
        <v>0.9</v>
      </c>
      <c r="H53" s="19">
        <v>3.5</v>
      </c>
      <c r="I53" s="19">
        <v>1.3</v>
      </c>
      <c r="J53" s="1">
        <v>11755.2176</v>
      </c>
      <c r="K53" s="1">
        <v>0</v>
      </c>
      <c r="L53" s="1">
        <v>5877.6088</v>
      </c>
      <c r="M53" s="20">
        <v>169.286</v>
      </c>
      <c r="N53" s="1">
        <v>59343.453120000006</v>
      </c>
      <c r="O53" s="1">
        <v>21</v>
      </c>
      <c r="P53" s="1">
        <v>59366.97312000001</v>
      </c>
      <c r="Q53" s="1">
        <v>8323129.2110400004</v>
      </c>
      <c r="R53" s="1">
        <v>4782.4000000000005</v>
      </c>
      <c r="S53" s="1">
        <v>8327911.6110400008</v>
      </c>
      <c r="T53" s="1">
        <v>744</v>
      </c>
      <c r="U53" s="1">
        <v>0</v>
      </c>
      <c r="V53" s="1">
        <v>744</v>
      </c>
      <c r="W53" s="1">
        <v>0</v>
      </c>
    </row>
    <row r="54" spans="1:23" x14ac:dyDescent="0.25">
      <c r="A54" s="1">
        <v>41</v>
      </c>
      <c r="B54" s="19">
        <v>114</v>
      </c>
      <c r="C54" s="19">
        <v>1245.8</v>
      </c>
      <c r="D54" s="21">
        <v>1.02</v>
      </c>
      <c r="E54" s="21">
        <v>0.93</v>
      </c>
      <c r="F54" s="21">
        <v>1.2</v>
      </c>
      <c r="G54" s="21">
        <v>0.9</v>
      </c>
      <c r="H54" s="19">
        <v>15</v>
      </c>
      <c r="I54" s="19">
        <v>0.1</v>
      </c>
      <c r="J54" s="1">
        <v>9391.0387200000005</v>
      </c>
      <c r="K54" s="1">
        <v>0</v>
      </c>
      <c r="L54" s="1">
        <v>4695.5193600000002</v>
      </c>
      <c r="M54" s="20">
        <v>135.24</v>
      </c>
      <c r="N54" s="1">
        <v>36129.245600000002</v>
      </c>
      <c r="O54" s="1">
        <v>3</v>
      </c>
      <c r="P54" s="1">
        <v>36132.605600000003</v>
      </c>
      <c r="Q54" s="1">
        <v>3241024.5067200004</v>
      </c>
      <c r="R54" s="1">
        <v>2169.44</v>
      </c>
      <c r="S54" s="1">
        <v>3243193.9467200004</v>
      </c>
      <c r="T54" s="1">
        <v>744</v>
      </c>
      <c r="U54" s="1">
        <v>0</v>
      </c>
      <c r="V54" s="1">
        <v>744</v>
      </c>
      <c r="W54" s="1">
        <v>0</v>
      </c>
    </row>
    <row r="55" spans="1:23" x14ac:dyDescent="0.25">
      <c r="A55" s="1">
        <v>42</v>
      </c>
      <c r="B55" s="19">
        <v>168.3</v>
      </c>
      <c r="C55" s="19">
        <v>1210</v>
      </c>
      <c r="D55" s="21">
        <v>0</v>
      </c>
      <c r="E55" s="21">
        <v>0.91</v>
      </c>
      <c r="F55" s="21">
        <v>1.2</v>
      </c>
      <c r="G55" s="21">
        <v>0.9</v>
      </c>
      <c r="H55" s="19">
        <v>4.8</v>
      </c>
      <c r="I55" s="19">
        <v>0.7</v>
      </c>
      <c r="J55" s="1">
        <v>5188.0572800000009</v>
      </c>
      <c r="K55" s="1">
        <v>0</v>
      </c>
      <c r="L55" s="1">
        <v>2594.0286400000005</v>
      </c>
      <c r="M55" s="20">
        <v>74.712999999999994</v>
      </c>
      <c r="N55" s="1">
        <v>21824.324480000003</v>
      </c>
      <c r="O55" s="1">
        <v>18</v>
      </c>
      <c r="P55" s="1">
        <v>21844.484480000003</v>
      </c>
      <c r="Q55" s="1">
        <v>5675295.5313600004</v>
      </c>
      <c r="R55" s="1">
        <v>4735.3600000000006</v>
      </c>
      <c r="S55" s="1">
        <v>5680030.8913600007</v>
      </c>
      <c r="T55" s="1">
        <v>744</v>
      </c>
      <c r="U55" s="1">
        <v>0</v>
      </c>
      <c r="V55" s="1">
        <v>744</v>
      </c>
      <c r="W55" s="1">
        <v>0</v>
      </c>
    </row>
    <row r="56" spans="1:23" x14ac:dyDescent="0.25">
      <c r="A56" s="1">
        <v>43</v>
      </c>
      <c r="B56" s="19">
        <v>168.3</v>
      </c>
      <c r="C56" s="19">
        <v>1188.4000000000001</v>
      </c>
      <c r="D56" s="21">
        <v>0</v>
      </c>
      <c r="E56" s="21">
        <v>0.97</v>
      </c>
      <c r="F56" s="21">
        <v>1.18</v>
      </c>
      <c r="G56" s="21">
        <v>0.9</v>
      </c>
      <c r="H56" s="19">
        <v>15.6</v>
      </c>
      <c r="I56" s="19">
        <v>0.7</v>
      </c>
      <c r="J56" s="1">
        <v>7355.2192000000005</v>
      </c>
      <c r="K56" s="1">
        <v>0</v>
      </c>
      <c r="L56" s="1">
        <v>3677.6096000000002</v>
      </c>
      <c r="M56" s="20">
        <v>105.922</v>
      </c>
      <c r="N56" s="1">
        <v>27088.343520000002</v>
      </c>
      <c r="O56" s="1">
        <v>29</v>
      </c>
      <c r="P56" s="1">
        <v>27120.823520000002</v>
      </c>
      <c r="Q56" s="1">
        <v>5684825.5643199999</v>
      </c>
      <c r="R56" s="1">
        <v>4307.5200000000004</v>
      </c>
      <c r="S56" s="1">
        <v>5689133.0843200004</v>
      </c>
      <c r="T56" s="1">
        <v>744</v>
      </c>
      <c r="U56" s="1">
        <v>0</v>
      </c>
      <c r="V56" s="1">
        <v>744</v>
      </c>
      <c r="W56" s="1">
        <v>0</v>
      </c>
    </row>
    <row r="57" spans="1:23" x14ac:dyDescent="0.25">
      <c r="A57" s="1">
        <v>44</v>
      </c>
      <c r="B57" s="19">
        <v>114</v>
      </c>
      <c r="C57" s="19">
        <v>1191.5</v>
      </c>
      <c r="D57" s="21">
        <v>0.5</v>
      </c>
      <c r="E57" s="21">
        <v>0.94</v>
      </c>
      <c r="F57" s="21">
        <v>1.1200000000000001</v>
      </c>
      <c r="G57" s="21">
        <v>0.9</v>
      </c>
      <c r="H57" s="19">
        <v>14</v>
      </c>
      <c r="I57" s="19">
        <v>0.7</v>
      </c>
      <c r="J57" s="1">
        <v>9391.0387200000005</v>
      </c>
      <c r="K57" s="1">
        <v>0</v>
      </c>
      <c r="L57" s="1">
        <v>4695.5193600000002</v>
      </c>
      <c r="M57" s="20">
        <v>135.24</v>
      </c>
      <c r="N57" s="1">
        <v>34000.803200000002</v>
      </c>
      <c r="O57" s="1">
        <v>3</v>
      </c>
      <c r="P57" s="1">
        <v>34004.163200000003</v>
      </c>
      <c r="Q57" s="1">
        <v>3867764.9337600004</v>
      </c>
      <c r="R57" s="1">
        <v>5171.0400000000009</v>
      </c>
      <c r="S57" s="1">
        <v>3872935.9737600004</v>
      </c>
      <c r="T57" s="1">
        <v>744</v>
      </c>
      <c r="U57" s="1">
        <v>0</v>
      </c>
      <c r="V57" s="1">
        <v>744</v>
      </c>
      <c r="W57" s="1">
        <v>0</v>
      </c>
    </row>
    <row r="58" spans="1:23" x14ac:dyDescent="0.25">
      <c r="A58" s="1">
        <v>45</v>
      </c>
      <c r="B58" s="19">
        <v>114</v>
      </c>
      <c r="C58" s="19">
        <v>1157.8</v>
      </c>
      <c r="D58" s="21">
        <v>0</v>
      </c>
      <c r="E58" s="21">
        <v>0.91</v>
      </c>
      <c r="F58" s="21">
        <v>0</v>
      </c>
      <c r="G58" s="21">
        <v>0.9</v>
      </c>
      <c r="H58" s="19">
        <v>12</v>
      </c>
      <c r="I58" s="19">
        <v>0.7</v>
      </c>
      <c r="J58" s="1">
        <v>5844.7715200000011</v>
      </c>
      <c r="K58" s="1">
        <v>0</v>
      </c>
      <c r="L58" s="1">
        <v>2922.3857600000006</v>
      </c>
      <c r="M58" s="20">
        <v>84.17</v>
      </c>
      <c r="N58" s="1">
        <v>21388.521280000001</v>
      </c>
      <c r="O58" s="1">
        <v>11</v>
      </c>
      <c r="P58" s="1">
        <v>21400.841280000001</v>
      </c>
      <c r="Q58" s="1">
        <v>3382896.3414400001</v>
      </c>
      <c r="R58" s="1">
        <v>5704.1600000000008</v>
      </c>
      <c r="S58" s="1">
        <v>3388600.5014400003</v>
      </c>
      <c r="T58" s="1">
        <v>744</v>
      </c>
      <c r="U58" s="1">
        <v>0</v>
      </c>
      <c r="V58" s="1">
        <v>744</v>
      </c>
      <c r="W58" s="1">
        <v>0</v>
      </c>
    </row>
    <row r="59" spans="1:23" x14ac:dyDescent="0.25">
      <c r="B59" s="19">
        <v>89</v>
      </c>
      <c r="C59" s="19">
        <v>1160.5999999999999</v>
      </c>
      <c r="D59" s="21"/>
      <c r="E59" s="21"/>
      <c r="F59" s="21"/>
      <c r="G59" s="21"/>
      <c r="H59" s="19"/>
      <c r="I59" s="19"/>
      <c r="J59" s="1">
        <v>0</v>
      </c>
      <c r="L59" s="1">
        <v>0</v>
      </c>
      <c r="M59" s="20"/>
      <c r="N59" s="1">
        <v>0</v>
      </c>
      <c r="P59" s="1">
        <v>0</v>
      </c>
      <c r="Q59" s="1">
        <v>0</v>
      </c>
      <c r="R59" s="1">
        <v>0</v>
      </c>
      <c r="S59" s="1">
        <v>0</v>
      </c>
    </row>
    <row r="60" spans="1:23" x14ac:dyDescent="0.25">
      <c r="A60" s="1">
        <v>46</v>
      </c>
      <c r="B60" s="19">
        <v>89</v>
      </c>
      <c r="C60" s="19">
        <v>1153.93</v>
      </c>
      <c r="D60" s="21">
        <v>0</v>
      </c>
      <c r="E60" s="21">
        <v>0.91</v>
      </c>
      <c r="F60" s="21">
        <v>1.1200000000000001</v>
      </c>
      <c r="G60" s="21">
        <v>0.89</v>
      </c>
      <c r="H60" s="19">
        <v>6</v>
      </c>
      <c r="I60" s="19">
        <v>-2.2000000000000002</v>
      </c>
      <c r="J60" s="1">
        <v>2754.5011200000004</v>
      </c>
      <c r="K60" s="1">
        <v>2</v>
      </c>
      <c r="L60" s="1">
        <v>1379.4905600000002</v>
      </c>
      <c r="M60" s="20">
        <v>39.720999999999997</v>
      </c>
      <c r="N60" s="1">
        <v>12830.033440000001</v>
      </c>
      <c r="O60" s="1">
        <v>10</v>
      </c>
      <c r="P60" s="1">
        <v>12841.233440000002</v>
      </c>
      <c r="Q60" s="1">
        <v>4213908.7054400006</v>
      </c>
      <c r="R60" s="1">
        <v>10855.04</v>
      </c>
      <c r="S60" s="1">
        <v>4224763.7454400007</v>
      </c>
      <c r="T60" s="1">
        <v>743</v>
      </c>
      <c r="U60" s="1">
        <v>1</v>
      </c>
      <c r="V60" s="1">
        <v>744</v>
      </c>
      <c r="W60" s="1">
        <v>341</v>
      </c>
    </row>
    <row r="61" spans="1:23" x14ac:dyDescent="0.25">
      <c r="A61" s="1">
        <v>47</v>
      </c>
      <c r="B61" s="19">
        <v>101.6</v>
      </c>
      <c r="C61" s="19">
        <v>1140</v>
      </c>
      <c r="D61" s="21">
        <v>0</v>
      </c>
      <c r="E61" s="21">
        <v>0.91</v>
      </c>
      <c r="F61" s="21">
        <v>1.0900000000000001</v>
      </c>
      <c r="G61" s="21">
        <v>0.89</v>
      </c>
      <c r="H61" s="19">
        <v>7.5</v>
      </c>
      <c r="I61" s="19">
        <v>-2.2000000000000002</v>
      </c>
      <c r="J61" s="1">
        <v>5049.9164800000008</v>
      </c>
      <c r="K61" s="1">
        <v>3</v>
      </c>
      <c r="L61" s="1">
        <v>2528.3182400000005</v>
      </c>
      <c r="M61" s="20">
        <v>72.820999999999998</v>
      </c>
      <c r="N61" s="1">
        <v>19998.852159999999</v>
      </c>
      <c r="O61" s="1">
        <v>9</v>
      </c>
      <c r="P61" s="1">
        <v>20008.93216</v>
      </c>
      <c r="Q61" s="1">
        <v>3160272.3017600002</v>
      </c>
      <c r="R61" s="1">
        <v>4299.68</v>
      </c>
      <c r="S61" s="1">
        <v>3164571.9817600003</v>
      </c>
      <c r="T61" s="1">
        <v>743</v>
      </c>
      <c r="U61" s="1">
        <v>1</v>
      </c>
      <c r="V61" s="1">
        <v>744</v>
      </c>
      <c r="W61" s="1">
        <v>341</v>
      </c>
    </row>
    <row r="62" spans="1:23" x14ac:dyDescent="0.25">
      <c r="A62" s="1">
        <v>48</v>
      </c>
      <c r="B62" s="19">
        <v>89</v>
      </c>
      <c r="C62" s="19">
        <v>1150.3699999999999</v>
      </c>
      <c r="D62" s="21">
        <v>0</v>
      </c>
      <c r="E62" s="21">
        <v>0.91</v>
      </c>
      <c r="F62" s="21">
        <v>1.0900000000000001</v>
      </c>
      <c r="G62" s="21">
        <v>0.89</v>
      </c>
      <c r="H62" s="19">
        <v>5.5</v>
      </c>
      <c r="I62" s="19">
        <v>-2.2000000000000002</v>
      </c>
      <c r="J62" s="1">
        <v>4853.1660800000009</v>
      </c>
      <c r="K62" s="1">
        <v>3</v>
      </c>
      <c r="L62" s="1">
        <v>2429.9430400000006</v>
      </c>
      <c r="M62" s="20">
        <v>69.983999999999995</v>
      </c>
      <c r="N62" s="1">
        <v>21094.900960000003</v>
      </c>
      <c r="O62" s="1">
        <v>14</v>
      </c>
      <c r="P62" s="1">
        <v>21110.580960000003</v>
      </c>
      <c r="Q62" s="1">
        <v>4316638.4128</v>
      </c>
      <c r="R62" s="1">
        <v>8831.2000000000007</v>
      </c>
      <c r="S62" s="1">
        <v>4325469.6128000002</v>
      </c>
      <c r="T62" s="1">
        <v>743</v>
      </c>
      <c r="U62" s="1">
        <v>1</v>
      </c>
      <c r="V62" s="1">
        <v>744</v>
      </c>
      <c r="W62" s="1">
        <v>341</v>
      </c>
    </row>
    <row r="63" spans="1:23" x14ac:dyDescent="0.25">
      <c r="A63" s="1">
        <v>49</v>
      </c>
      <c r="B63" s="19">
        <v>89</v>
      </c>
      <c r="C63" s="19">
        <v>1183.31</v>
      </c>
      <c r="D63" s="21">
        <v>0</v>
      </c>
      <c r="E63" s="21">
        <v>1.02</v>
      </c>
      <c r="F63" s="21">
        <v>1.28</v>
      </c>
      <c r="G63" s="21">
        <v>0.9</v>
      </c>
      <c r="H63" s="19">
        <v>8</v>
      </c>
      <c r="I63" s="19">
        <v>0.1</v>
      </c>
      <c r="J63" s="1">
        <v>5385.0697600000003</v>
      </c>
      <c r="K63" s="1">
        <v>0</v>
      </c>
      <c r="L63" s="1">
        <v>2692.5348800000002</v>
      </c>
      <c r="M63" s="20">
        <v>77.55</v>
      </c>
      <c r="N63" s="1">
        <v>20725.971840000002</v>
      </c>
      <c r="O63" s="1">
        <v>0</v>
      </c>
      <c r="P63" s="1">
        <v>20725.971840000002</v>
      </c>
      <c r="Q63" s="1">
        <v>873334.60928000009</v>
      </c>
      <c r="R63" s="1">
        <v>1098.72</v>
      </c>
      <c r="S63" s="1">
        <v>874433.32928000006</v>
      </c>
      <c r="T63" s="1">
        <v>744</v>
      </c>
      <c r="U63" s="1">
        <v>0</v>
      </c>
      <c r="V63" s="1">
        <v>744</v>
      </c>
      <c r="W63" s="1">
        <v>0</v>
      </c>
    </row>
    <row r="64" spans="1:23" x14ac:dyDescent="0.25">
      <c r="A64" s="1">
        <v>50</v>
      </c>
      <c r="B64" s="19">
        <v>89</v>
      </c>
      <c r="C64" s="19">
        <v>1196</v>
      </c>
      <c r="D64" s="21">
        <v>1.3</v>
      </c>
      <c r="E64" s="21">
        <v>1.02</v>
      </c>
      <c r="F64" s="21">
        <v>1.34</v>
      </c>
      <c r="G64" s="21">
        <v>0.9</v>
      </c>
      <c r="H64" s="19">
        <v>-5</v>
      </c>
      <c r="I64" s="19">
        <v>0.1</v>
      </c>
      <c r="J64" s="1">
        <v>2758.2060800000004</v>
      </c>
      <c r="K64" s="1">
        <v>0</v>
      </c>
      <c r="L64" s="1">
        <v>1379.1030400000002</v>
      </c>
      <c r="M64" s="20">
        <v>39.720999999999997</v>
      </c>
      <c r="N64" s="1">
        <v>10522.751680000001</v>
      </c>
      <c r="O64" s="1">
        <v>10</v>
      </c>
      <c r="P64" s="1">
        <v>10533.951680000002</v>
      </c>
      <c r="Q64" s="1">
        <v>937815.84288000013</v>
      </c>
      <c r="R64" s="1">
        <v>387.52000000000004</v>
      </c>
      <c r="S64" s="1">
        <v>938203.36288000015</v>
      </c>
      <c r="T64" s="1">
        <v>744</v>
      </c>
      <c r="U64" s="1">
        <v>0</v>
      </c>
      <c r="V64" s="1">
        <v>744</v>
      </c>
      <c r="W64" s="1">
        <v>0</v>
      </c>
    </row>
    <row r="65" spans="1:23" x14ac:dyDescent="0.25">
      <c r="A65" s="1">
        <v>51</v>
      </c>
      <c r="B65" s="19">
        <v>89</v>
      </c>
      <c r="C65" s="19">
        <v>1188</v>
      </c>
      <c r="D65" s="21">
        <v>0</v>
      </c>
      <c r="E65" s="21">
        <v>1.02</v>
      </c>
      <c r="F65" s="21">
        <v>1.1200000000000001</v>
      </c>
      <c r="G65" s="21">
        <v>0.9</v>
      </c>
      <c r="H65" s="19">
        <v>3</v>
      </c>
      <c r="I65" s="19">
        <v>0.1</v>
      </c>
      <c r="J65" s="1">
        <v>2692.5360000000005</v>
      </c>
      <c r="K65" s="1">
        <v>0</v>
      </c>
      <c r="L65" s="1">
        <v>1346.2680000000003</v>
      </c>
      <c r="M65" s="20">
        <v>38.774999999999999</v>
      </c>
      <c r="N65" s="1">
        <v>10156.790560000001</v>
      </c>
      <c r="O65" s="1">
        <v>3</v>
      </c>
      <c r="P65" s="1">
        <v>10160.150560000002</v>
      </c>
      <c r="Q65" s="1">
        <v>638412.89120000007</v>
      </c>
      <c r="R65" s="1">
        <v>278.88000000000005</v>
      </c>
      <c r="S65" s="1">
        <v>638691.77120000008</v>
      </c>
      <c r="T65" s="1">
        <v>744</v>
      </c>
      <c r="U65" s="1">
        <v>0</v>
      </c>
      <c r="V65" s="1">
        <v>744</v>
      </c>
      <c r="W65" s="1">
        <v>0</v>
      </c>
    </row>
    <row r="66" spans="1:23" x14ac:dyDescent="0.25">
      <c r="B66" s="19"/>
      <c r="C66" s="19"/>
      <c r="D66" s="21"/>
      <c r="E66" s="21"/>
      <c r="F66" s="21"/>
      <c r="G66" s="21"/>
      <c r="H66" s="19"/>
      <c r="I66" s="19"/>
      <c r="J66" s="1">
        <v>0</v>
      </c>
      <c r="L66" s="1">
        <v>0</v>
      </c>
      <c r="M66" s="30" t="s">
        <v>54</v>
      </c>
      <c r="N66" s="1">
        <v>0</v>
      </c>
      <c r="P66" s="1">
        <v>0</v>
      </c>
      <c r="Q66" s="1">
        <v>0</v>
      </c>
      <c r="R66" s="1">
        <v>0</v>
      </c>
      <c r="S66" s="1">
        <v>0</v>
      </c>
    </row>
    <row r="67" spans="1:23" x14ac:dyDescent="0.25">
      <c r="A67" s="1">
        <v>52</v>
      </c>
      <c r="B67" s="19">
        <v>168</v>
      </c>
      <c r="C67" s="19">
        <v>1110.5999999999999</v>
      </c>
      <c r="D67" s="21">
        <v>0</v>
      </c>
      <c r="E67" s="21">
        <v>0.85</v>
      </c>
      <c r="F67" s="21">
        <v>0</v>
      </c>
      <c r="G67" s="21">
        <v>0.83</v>
      </c>
      <c r="H67" s="19">
        <v>-2</v>
      </c>
      <c r="I67" s="19">
        <v>-3.2</v>
      </c>
      <c r="J67" s="1">
        <v>147.05376000000001</v>
      </c>
      <c r="K67" s="1">
        <v>0</v>
      </c>
      <c r="L67" s="1">
        <v>73.526880000000006</v>
      </c>
      <c r="M67" s="20">
        <v>46.34</v>
      </c>
      <c r="N67" s="1">
        <v>15979.387200000001</v>
      </c>
      <c r="O67" s="1">
        <v>20</v>
      </c>
      <c r="P67" s="1">
        <v>16001.787200000001</v>
      </c>
      <c r="Q67" s="1">
        <v>11073128.925600002</v>
      </c>
      <c r="R67" s="1">
        <v>11622.240000000002</v>
      </c>
      <c r="S67" s="1">
        <v>11084751.165600002</v>
      </c>
      <c r="T67" s="1">
        <v>34</v>
      </c>
      <c r="U67" s="1">
        <v>710</v>
      </c>
      <c r="V67" s="1">
        <v>744</v>
      </c>
      <c r="W67" s="1">
        <v>327</v>
      </c>
    </row>
    <row r="68" spans="1:23" x14ac:dyDescent="0.25">
      <c r="A68" s="1">
        <v>53</v>
      </c>
      <c r="B68" s="19">
        <v>168.3</v>
      </c>
      <c r="C68" s="19">
        <v>1178</v>
      </c>
      <c r="D68" s="21">
        <v>0</v>
      </c>
      <c r="E68" s="21">
        <v>0.91</v>
      </c>
      <c r="F68" s="21">
        <v>0</v>
      </c>
      <c r="G68" s="21">
        <v>0.9</v>
      </c>
      <c r="H68" s="19">
        <v>-2</v>
      </c>
      <c r="I68" s="19">
        <v>2</v>
      </c>
      <c r="J68" s="1">
        <v>225.08416</v>
      </c>
      <c r="K68" s="1">
        <v>0</v>
      </c>
      <c r="L68" s="1">
        <v>112.54208</v>
      </c>
      <c r="M68" s="20">
        <v>70.930000000000007</v>
      </c>
      <c r="N68" s="1">
        <v>8460.7622400000018</v>
      </c>
      <c r="O68" s="1">
        <v>18</v>
      </c>
      <c r="P68" s="1">
        <v>8480.9222400000017</v>
      </c>
      <c r="Q68" s="1">
        <v>10958735.97504</v>
      </c>
      <c r="R68" s="1">
        <v>4655.84</v>
      </c>
      <c r="S68" s="1">
        <v>10963391.815040002</v>
      </c>
      <c r="T68" s="1">
        <v>34</v>
      </c>
      <c r="U68" s="1">
        <v>710</v>
      </c>
      <c r="V68" s="1">
        <v>744</v>
      </c>
      <c r="W68" s="1">
        <v>327</v>
      </c>
    </row>
    <row r="69" spans="1:23" x14ac:dyDescent="0.25">
      <c r="A69" s="1">
        <v>54</v>
      </c>
      <c r="B69" s="19">
        <v>101.6</v>
      </c>
      <c r="C69" s="19">
        <v>1159.5899999999999</v>
      </c>
      <c r="D69" s="21">
        <v>0.42</v>
      </c>
      <c r="E69" s="21">
        <v>0.84</v>
      </c>
      <c r="F69" s="21">
        <v>1.2</v>
      </c>
      <c r="G69" s="21">
        <v>0.83</v>
      </c>
      <c r="H69" s="19">
        <v>-2</v>
      </c>
      <c r="I69" s="19">
        <v>3.8</v>
      </c>
      <c r="J69" s="1">
        <v>123.04544</v>
      </c>
      <c r="K69" s="1">
        <v>0</v>
      </c>
      <c r="L69" s="1">
        <v>61.52272</v>
      </c>
      <c r="M69" s="20">
        <v>38.774999999999999</v>
      </c>
      <c r="N69" s="1">
        <v>3111.9838399999999</v>
      </c>
      <c r="O69" s="1">
        <v>8</v>
      </c>
      <c r="P69" s="1">
        <v>3120.9438399999999</v>
      </c>
      <c r="Q69" s="1">
        <v>10264661.741600001</v>
      </c>
      <c r="R69" s="1">
        <v>6463.52</v>
      </c>
      <c r="S69" s="1">
        <v>10271125.261600001</v>
      </c>
      <c r="T69" s="1">
        <v>34</v>
      </c>
      <c r="U69" s="1">
        <v>710</v>
      </c>
      <c r="V69" s="1">
        <v>744</v>
      </c>
      <c r="W69" s="1">
        <v>327</v>
      </c>
    </row>
    <row r="70" spans="1:23" x14ac:dyDescent="0.25">
      <c r="A70" s="1">
        <v>55</v>
      </c>
      <c r="B70" s="19">
        <v>168.3</v>
      </c>
      <c r="C70" s="19">
        <v>1144</v>
      </c>
      <c r="D70" s="21">
        <v>0</v>
      </c>
      <c r="E70" s="21">
        <v>0.96</v>
      </c>
      <c r="F70" s="21">
        <v>0</v>
      </c>
      <c r="G70" s="21">
        <v>0.89</v>
      </c>
      <c r="H70" s="19">
        <v>-2</v>
      </c>
      <c r="I70" s="19">
        <v>-1.4</v>
      </c>
      <c r="J70" s="1">
        <v>132.05024</v>
      </c>
      <c r="K70" s="1">
        <v>0</v>
      </c>
      <c r="L70" s="1">
        <v>66.025120000000001</v>
      </c>
      <c r="M70" s="20">
        <v>41.612000000000002</v>
      </c>
      <c r="N70" s="1">
        <v>141.38768000000002</v>
      </c>
      <c r="O70" s="1">
        <v>0</v>
      </c>
      <c r="P70" s="1">
        <v>141.38768000000002</v>
      </c>
      <c r="Q70" s="1">
        <v>9939137.6000000015</v>
      </c>
      <c r="R70" s="1">
        <v>5156.4800000000005</v>
      </c>
      <c r="S70" s="1">
        <v>9944294.0800000001</v>
      </c>
      <c r="T70" s="1">
        <v>34</v>
      </c>
      <c r="U70" s="1">
        <v>710</v>
      </c>
      <c r="V70" s="1">
        <v>744</v>
      </c>
      <c r="W70" s="1">
        <v>327</v>
      </c>
    </row>
    <row r="71" spans="1:23" x14ac:dyDescent="0.25">
      <c r="A71" s="1">
        <v>56</v>
      </c>
      <c r="B71" s="19">
        <v>89</v>
      </c>
      <c r="C71" s="19">
        <v>1178</v>
      </c>
      <c r="D71" s="21">
        <v>1</v>
      </c>
      <c r="E71" s="21">
        <v>1.02</v>
      </c>
      <c r="F71" s="21">
        <v>1.68</v>
      </c>
      <c r="G71" s="21">
        <v>0.9</v>
      </c>
      <c r="H71" s="19">
        <v>-2</v>
      </c>
      <c r="I71" s="19">
        <v>0.1</v>
      </c>
      <c r="J71" s="1">
        <v>84.913920000000005</v>
      </c>
      <c r="K71" s="1">
        <v>0</v>
      </c>
      <c r="L71" s="1">
        <v>42.456960000000002</v>
      </c>
      <c r="M71" s="20">
        <v>34.991999999999997</v>
      </c>
      <c r="N71" s="1">
        <v>7137.6144000000004</v>
      </c>
      <c r="O71" s="1">
        <v>17</v>
      </c>
      <c r="P71" s="1">
        <v>7156.6544000000004</v>
      </c>
      <c r="Q71" s="1">
        <v>872773.23616000009</v>
      </c>
      <c r="R71" s="1">
        <v>293.44000000000005</v>
      </c>
      <c r="S71" s="1">
        <v>873066.67616000003</v>
      </c>
      <c r="T71" s="1">
        <v>26</v>
      </c>
      <c r="U71" s="1">
        <v>718</v>
      </c>
      <c r="V71" s="1">
        <v>744</v>
      </c>
      <c r="W71" s="1">
        <v>327</v>
      </c>
    </row>
    <row r="72" spans="1:23" x14ac:dyDescent="0.25">
      <c r="A72" s="44" t="s">
        <v>31</v>
      </c>
      <c r="B72" s="24"/>
      <c r="C72" s="24"/>
      <c r="D72" s="25"/>
      <c r="E72" s="25"/>
      <c r="F72" s="25"/>
      <c r="G72" s="25"/>
      <c r="H72" s="24"/>
      <c r="I72" s="24"/>
      <c r="J72" s="26">
        <f>SUM(J9:J71)</f>
        <v>350638.88384000002</v>
      </c>
      <c r="K72" s="23">
        <v>64</v>
      </c>
      <c r="L72" s="23">
        <v>175391.12192000001</v>
      </c>
      <c r="M72" s="27">
        <v>95</v>
      </c>
      <c r="N72" s="23">
        <v>1391885.33568</v>
      </c>
      <c r="O72" s="23">
        <v>868</v>
      </c>
      <c r="P72" s="23">
        <v>1392857.4956800002</v>
      </c>
      <c r="Q72" s="23">
        <v>410702828.79024005</v>
      </c>
      <c r="R72" s="23">
        <v>434443.52000000002</v>
      </c>
      <c r="S72" s="23">
        <v>411137272.31024003</v>
      </c>
      <c r="T72" s="23">
        <v>37958</v>
      </c>
      <c r="U72" s="23">
        <v>3706</v>
      </c>
      <c r="V72" s="23">
        <v>41664</v>
      </c>
      <c r="W72" s="45"/>
    </row>
    <row r="73" spans="1:23" x14ac:dyDescent="0.25">
      <c r="A73" s="29" t="s">
        <v>66</v>
      </c>
    </row>
    <row r="74" spans="1:23" x14ac:dyDescent="0.25">
      <c r="A74" s="29" t="s">
        <v>32</v>
      </c>
    </row>
    <row r="75" spans="1:23" x14ac:dyDescent="0.25">
      <c r="A75" s="29" t="s">
        <v>55</v>
      </c>
    </row>
    <row r="76" spans="1:23" x14ac:dyDescent="0.25">
      <c r="A76" s="29" t="s">
        <v>56</v>
      </c>
    </row>
    <row r="77" spans="1:23" x14ac:dyDescent="0.25">
      <c r="M77" s="18" t="s">
        <v>35</v>
      </c>
    </row>
    <row r="78" spans="1:23" x14ac:dyDescent="0.25">
      <c r="A78" s="1">
        <v>57</v>
      </c>
      <c r="B78" s="19">
        <v>168</v>
      </c>
      <c r="C78" s="19">
        <v>1163.2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1">
        <v>0</v>
      </c>
      <c r="K78" s="1">
        <v>0</v>
      </c>
      <c r="L78" s="1">
        <v>0</v>
      </c>
      <c r="M78" s="20">
        <v>0</v>
      </c>
      <c r="N78" s="20">
        <v>0</v>
      </c>
      <c r="O78" s="1">
        <v>0</v>
      </c>
      <c r="P78" s="20">
        <v>0</v>
      </c>
      <c r="Q78" s="1">
        <v>12395723.389280001</v>
      </c>
      <c r="R78" s="1">
        <v>7939.6800000000012</v>
      </c>
      <c r="S78" s="1">
        <v>12403663.06928</v>
      </c>
      <c r="T78" s="1">
        <v>0</v>
      </c>
      <c r="U78" s="1">
        <v>0</v>
      </c>
      <c r="V78" s="1">
        <v>0</v>
      </c>
      <c r="W78" s="1">
        <v>0</v>
      </c>
    </row>
    <row r="79" spans="1:23" x14ac:dyDescent="0.25">
      <c r="A79" s="1">
        <v>58</v>
      </c>
      <c r="B79" s="19">
        <v>89</v>
      </c>
      <c r="C79" s="19">
        <v>1150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1">
        <v>0</v>
      </c>
      <c r="K79" s="1">
        <v>0</v>
      </c>
      <c r="L79" s="1">
        <v>0</v>
      </c>
      <c r="M79" s="20">
        <v>0</v>
      </c>
      <c r="N79" s="20">
        <v>0</v>
      </c>
      <c r="O79" s="1">
        <v>0</v>
      </c>
      <c r="P79" s="20">
        <v>0</v>
      </c>
      <c r="Q79" s="1">
        <v>10024805.838880001</v>
      </c>
      <c r="R79" s="1">
        <v>6797.2800000000007</v>
      </c>
      <c r="S79" s="1">
        <v>10031603.11888</v>
      </c>
      <c r="T79" s="1">
        <v>0</v>
      </c>
      <c r="U79" s="1">
        <v>0</v>
      </c>
      <c r="V79" s="1">
        <v>0</v>
      </c>
      <c r="W79" s="1">
        <v>0</v>
      </c>
    </row>
    <row r="80" spans="1:23" x14ac:dyDescent="0.25">
      <c r="A80" s="1">
        <v>59</v>
      </c>
      <c r="B80" s="19">
        <v>89</v>
      </c>
      <c r="C80" s="19">
        <v>1145.3900000000001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1">
        <v>0</v>
      </c>
      <c r="K80" s="1">
        <v>0</v>
      </c>
      <c r="L80" s="1">
        <v>0</v>
      </c>
      <c r="M80" s="20">
        <v>0</v>
      </c>
      <c r="N80" s="20">
        <v>0</v>
      </c>
      <c r="O80" s="1">
        <v>0</v>
      </c>
      <c r="P80" s="20">
        <v>0</v>
      </c>
      <c r="Q80" s="1">
        <v>4056196.8384000002</v>
      </c>
      <c r="R80" s="1">
        <v>11665.920000000002</v>
      </c>
      <c r="S80" s="1">
        <v>4067862.7584000002</v>
      </c>
      <c r="T80" s="1">
        <v>0</v>
      </c>
      <c r="U80" s="1">
        <v>0</v>
      </c>
      <c r="V80" s="1">
        <v>0</v>
      </c>
      <c r="W80" s="1">
        <v>0</v>
      </c>
    </row>
    <row r="81" spans="1:23" x14ac:dyDescent="0.25">
      <c r="A81" s="1">
        <v>60</v>
      </c>
      <c r="B81" s="19">
        <v>114</v>
      </c>
      <c r="C81" s="19">
        <v>1206.51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1">
        <v>0</v>
      </c>
      <c r="K81" s="1">
        <v>0</v>
      </c>
      <c r="L81" s="1">
        <v>0</v>
      </c>
      <c r="M81" s="20">
        <v>0</v>
      </c>
      <c r="N81" s="20">
        <v>0</v>
      </c>
      <c r="O81" s="1">
        <v>0</v>
      </c>
      <c r="P81" s="20">
        <v>0</v>
      </c>
      <c r="Q81" s="1">
        <v>2702687.3787200004</v>
      </c>
      <c r="R81" s="1">
        <v>4483.3600000000006</v>
      </c>
      <c r="S81" s="1">
        <v>2707170.7387200003</v>
      </c>
      <c r="T81" s="1">
        <v>0</v>
      </c>
      <c r="U81" s="1">
        <v>0</v>
      </c>
      <c r="V81" s="1">
        <v>0</v>
      </c>
      <c r="W81" s="1">
        <v>0</v>
      </c>
    </row>
    <row r="82" spans="1:23" x14ac:dyDescent="0.25">
      <c r="B82" s="19"/>
      <c r="C82" s="19"/>
      <c r="D82" s="20"/>
      <c r="E82" s="20"/>
      <c r="F82" s="20"/>
      <c r="G82" s="20"/>
      <c r="H82" s="20"/>
      <c r="I82" s="20"/>
      <c r="M82" s="30" t="s">
        <v>57</v>
      </c>
      <c r="N82" s="20"/>
      <c r="P82" s="20"/>
      <c r="Q82" s="1">
        <v>0</v>
      </c>
      <c r="R82" s="1">
        <v>0</v>
      </c>
      <c r="S82" s="1">
        <v>0</v>
      </c>
    </row>
    <row r="83" spans="1:23" x14ac:dyDescent="0.25">
      <c r="A83" s="1">
        <v>61</v>
      </c>
      <c r="B83" s="19">
        <v>114</v>
      </c>
      <c r="C83" s="19">
        <v>1190.42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1">
        <v>0</v>
      </c>
      <c r="K83" s="1">
        <v>0</v>
      </c>
      <c r="L83" s="1">
        <v>0</v>
      </c>
      <c r="M83" s="20">
        <v>0</v>
      </c>
      <c r="N83" s="20">
        <v>0</v>
      </c>
      <c r="O83" s="1">
        <v>0</v>
      </c>
      <c r="P83" s="20">
        <v>0</v>
      </c>
      <c r="Q83" s="1">
        <v>2692848.8843200002</v>
      </c>
      <c r="R83" s="1">
        <v>2923.2000000000003</v>
      </c>
      <c r="S83" s="1">
        <v>2695772.0843200004</v>
      </c>
      <c r="T83" s="1">
        <v>0</v>
      </c>
      <c r="U83" s="1">
        <v>0</v>
      </c>
      <c r="V83" s="1">
        <v>0</v>
      </c>
      <c r="W83" s="1">
        <v>0</v>
      </c>
    </row>
    <row r="84" spans="1:23" x14ac:dyDescent="0.25">
      <c r="A84" s="1">
        <v>62</v>
      </c>
      <c r="B84" s="19">
        <v>89</v>
      </c>
      <c r="C84" s="19">
        <v>1067.4000000000001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1">
        <v>0</v>
      </c>
      <c r="K84" s="1">
        <v>0</v>
      </c>
      <c r="L84" s="1">
        <v>0</v>
      </c>
      <c r="M84" s="20">
        <v>0</v>
      </c>
      <c r="N84" s="20">
        <v>0</v>
      </c>
      <c r="O84" s="1">
        <v>0</v>
      </c>
      <c r="P84" s="20">
        <v>0</v>
      </c>
      <c r="Q84" s="1">
        <v>2476352.4800000004</v>
      </c>
      <c r="R84" s="1">
        <v>7152.3200000000006</v>
      </c>
      <c r="S84" s="1">
        <v>2483504.8000000003</v>
      </c>
      <c r="T84" s="1">
        <v>0</v>
      </c>
      <c r="U84" s="1">
        <v>0</v>
      </c>
      <c r="V84" s="1">
        <v>0</v>
      </c>
      <c r="W84" s="1">
        <v>0</v>
      </c>
    </row>
    <row r="85" spans="1:23" x14ac:dyDescent="0.25">
      <c r="B85" s="19"/>
      <c r="C85" s="19"/>
      <c r="D85" s="20"/>
      <c r="E85" s="20"/>
      <c r="F85" s="20"/>
      <c r="G85" s="20"/>
      <c r="H85" s="20"/>
      <c r="I85" s="20"/>
      <c r="M85" s="30" t="s">
        <v>36</v>
      </c>
      <c r="N85" s="20"/>
      <c r="P85" s="20"/>
      <c r="Q85" s="1">
        <v>0</v>
      </c>
      <c r="R85" s="1">
        <v>0</v>
      </c>
      <c r="S85" s="1">
        <v>0</v>
      </c>
    </row>
    <row r="86" spans="1:23" x14ac:dyDescent="0.25">
      <c r="A86" s="1">
        <v>63</v>
      </c>
      <c r="B86" s="19">
        <v>89</v>
      </c>
      <c r="C86" s="19">
        <v>1334.83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1">
        <v>0</v>
      </c>
      <c r="K86" s="1">
        <v>0</v>
      </c>
      <c r="L86" s="1">
        <v>0</v>
      </c>
      <c r="M86" s="20">
        <v>0</v>
      </c>
      <c r="N86" s="20">
        <v>0</v>
      </c>
      <c r="O86" s="1">
        <v>0</v>
      </c>
      <c r="P86" s="20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</row>
    <row r="87" spans="1:23" x14ac:dyDescent="0.25">
      <c r="A87" s="1">
        <v>64</v>
      </c>
      <c r="B87" s="19">
        <v>101.6</v>
      </c>
      <c r="C87" s="19">
        <v>1230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1">
        <v>0</v>
      </c>
      <c r="K87" s="1">
        <v>0</v>
      </c>
      <c r="L87" s="1">
        <v>0</v>
      </c>
      <c r="M87" s="20">
        <v>0</v>
      </c>
      <c r="N87" s="20">
        <v>0</v>
      </c>
      <c r="O87" s="1">
        <v>0</v>
      </c>
      <c r="P87" s="20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</row>
    <row r="88" spans="1:23" x14ac:dyDescent="0.25">
      <c r="B88" s="19"/>
      <c r="C88" s="19"/>
      <c r="D88" s="20"/>
      <c r="E88" s="20"/>
      <c r="F88" s="20"/>
      <c r="G88" s="20"/>
      <c r="H88" s="20"/>
      <c r="I88" s="20"/>
      <c r="M88" s="30" t="s">
        <v>37</v>
      </c>
      <c r="N88" s="20"/>
      <c r="P88" s="20"/>
      <c r="Q88" s="1">
        <v>0</v>
      </c>
      <c r="R88" s="1">
        <v>0</v>
      </c>
      <c r="S88" s="1">
        <v>0</v>
      </c>
    </row>
    <row r="89" spans="1:23" x14ac:dyDescent="0.25">
      <c r="A89" s="1">
        <v>65</v>
      </c>
      <c r="B89" s="19">
        <v>73</v>
      </c>
      <c r="C89" s="19">
        <v>1190.5999999999999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1">
        <v>0</v>
      </c>
      <c r="K89" s="1">
        <v>0</v>
      </c>
      <c r="L89" s="1">
        <v>0</v>
      </c>
      <c r="M89" s="20">
        <v>0</v>
      </c>
      <c r="N89" s="20">
        <v>0</v>
      </c>
      <c r="O89" s="1">
        <v>0</v>
      </c>
      <c r="P89" s="20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</row>
    <row r="90" spans="1:23" x14ac:dyDescent="0.25">
      <c r="A90" s="1">
        <v>66</v>
      </c>
      <c r="B90" s="19">
        <v>73</v>
      </c>
      <c r="C90" s="19">
        <v>1214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1">
        <v>0</v>
      </c>
      <c r="K90" s="1">
        <v>0</v>
      </c>
      <c r="L90" s="1">
        <v>0</v>
      </c>
      <c r="M90" s="20">
        <v>0</v>
      </c>
      <c r="N90" s="20">
        <v>0</v>
      </c>
      <c r="O90" s="1">
        <v>0</v>
      </c>
      <c r="P90" s="20">
        <v>0</v>
      </c>
      <c r="Q90" s="1">
        <v>39544.960000000006</v>
      </c>
      <c r="R90" s="1">
        <v>8904</v>
      </c>
      <c r="S90" s="1">
        <v>48448.960000000006</v>
      </c>
      <c r="T90" s="1">
        <v>0</v>
      </c>
      <c r="U90" s="1">
        <v>0</v>
      </c>
      <c r="V90" s="1">
        <v>0</v>
      </c>
      <c r="W90" s="1">
        <v>0</v>
      </c>
    </row>
    <row r="91" spans="1:23" x14ac:dyDescent="0.25">
      <c r="A91" s="1">
        <v>67</v>
      </c>
      <c r="B91" s="19">
        <v>114</v>
      </c>
      <c r="C91" s="19">
        <v>1171.5999999999999</v>
      </c>
      <c r="D91" s="20">
        <v>0</v>
      </c>
      <c r="E91" s="20">
        <v>0</v>
      </c>
      <c r="F91" s="20">
        <v>0</v>
      </c>
      <c r="G91" s="20">
        <v>0</v>
      </c>
      <c r="H91" s="20">
        <v>0</v>
      </c>
      <c r="I91" s="20">
        <v>0</v>
      </c>
      <c r="J91" s="1">
        <v>0</v>
      </c>
      <c r="K91" s="1">
        <v>0</v>
      </c>
      <c r="L91" s="1">
        <v>0</v>
      </c>
      <c r="M91" s="20">
        <v>0</v>
      </c>
      <c r="N91" s="20">
        <v>0</v>
      </c>
      <c r="O91" s="1">
        <v>0</v>
      </c>
      <c r="P91" s="20">
        <v>0</v>
      </c>
      <c r="Q91" s="20">
        <v>0</v>
      </c>
      <c r="R91" s="1">
        <v>2732.8</v>
      </c>
      <c r="S91" s="1">
        <v>2732.8</v>
      </c>
      <c r="T91" s="1">
        <v>0</v>
      </c>
      <c r="U91" s="1">
        <v>0</v>
      </c>
      <c r="V91" s="1">
        <v>0</v>
      </c>
      <c r="W91" s="1">
        <v>0</v>
      </c>
    </row>
    <row r="92" spans="1:23" x14ac:dyDescent="0.25">
      <c r="A92" s="1">
        <v>68</v>
      </c>
      <c r="B92" s="19">
        <v>114</v>
      </c>
      <c r="C92" s="19">
        <v>1253</v>
      </c>
      <c r="D92" s="20">
        <v>0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1">
        <v>0</v>
      </c>
      <c r="K92" s="1">
        <v>0</v>
      </c>
      <c r="L92" s="1">
        <v>0</v>
      </c>
      <c r="M92" s="20">
        <v>0</v>
      </c>
      <c r="N92" s="20">
        <v>0</v>
      </c>
      <c r="O92" s="1">
        <v>0</v>
      </c>
      <c r="P92" s="20">
        <v>0</v>
      </c>
      <c r="Q92" s="20">
        <v>0</v>
      </c>
      <c r="R92" s="1">
        <v>2520.0000000000005</v>
      </c>
      <c r="S92" s="1">
        <v>2520.0000000000005</v>
      </c>
      <c r="T92" s="1">
        <v>0</v>
      </c>
      <c r="U92" s="1">
        <v>0</v>
      </c>
      <c r="V92" s="1">
        <v>0</v>
      </c>
      <c r="W92" s="1">
        <v>0</v>
      </c>
    </row>
    <row r="93" spans="1:23" x14ac:dyDescent="0.25">
      <c r="A93" s="1">
        <v>69</v>
      </c>
      <c r="B93" s="19">
        <v>89</v>
      </c>
      <c r="C93" s="19">
        <v>1162.4000000000001</v>
      </c>
      <c r="D93" s="20">
        <v>0</v>
      </c>
      <c r="E93" s="20">
        <v>0</v>
      </c>
      <c r="F93" s="20">
        <v>0</v>
      </c>
      <c r="G93" s="20">
        <v>0</v>
      </c>
      <c r="H93" s="20">
        <v>0</v>
      </c>
      <c r="I93" s="20">
        <v>0</v>
      </c>
      <c r="J93" s="1">
        <v>0</v>
      </c>
      <c r="K93" s="1">
        <v>0</v>
      </c>
      <c r="L93" s="1">
        <v>0</v>
      </c>
      <c r="M93" s="20">
        <v>0</v>
      </c>
      <c r="N93" s="20">
        <v>0</v>
      </c>
      <c r="O93" s="1">
        <v>0</v>
      </c>
      <c r="P93" s="20">
        <v>0</v>
      </c>
      <c r="Q93" s="20">
        <v>0</v>
      </c>
      <c r="R93" s="1">
        <v>0</v>
      </c>
      <c r="S93" s="20">
        <v>0</v>
      </c>
      <c r="T93" s="1">
        <v>0</v>
      </c>
      <c r="U93" s="1">
        <v>0</v>
      </c>
      <c r="V93" s="1">
        <v>0</v>
      </c>
      <c r="W93" s="1">
        <v>0</v>
      </c>
    </row>
    <row r="94" spans="1:23" x14ac:dyDescent="0.25">
      <c r="B94" s="19"/>
      <c r="C94" s="19"/>
      <c r="D94" s="20"/>
      <c r="E94" s="20"/>
      <c r="F94" s="20"/>
      <c r="G94" s="20"/>
      <c r="H94" s="20"/>
      <c r="I94" s="20"/>
      <c r="M94" s="30" t="s">
        <v>38</v>
      </c>
      <c r="N94" s="20"/>
      <c r="P94" s="20"/>
      <c r="Q94" s="20"/>
      <c r="S94" s="20"/>
    </row>
    <row r="95" spans="1:23" x14ac:dyDescent="0.25">
      <c r="A95" s="1">
        <v>70</v>
      </c>
      <c r="B95" s="19">
        <v>0</v>
      </c>
      <c r="C95" s="19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1">
        <v>0</v>
      </c>
      <c r="K95" s="1">
        <v>0</v>
      </c>
      <c r="L95" s="1">
        <v>0</v>
      </c>
      <c r="M95" s="20">
        <v>0</v>
      </c>
      <c r="N95" s="20">
        <v>0</v>
      </c>
      <c r="O95" s="1">
        <v>0</v>
      </c>
      <c r="P95" s="20">
        <v>0</v>
      </c>
      <c r="Q95" s="20">
        <v>0</v>
      </c>
      <c r="R95" s="1">
        <v>0</v>
      </c>
      <c r="S95" s="20">
        <v>0</v>
      </c>
      <c r="T95" s="1">
        <v>0</v>
      </c>
      <c r="U95" s="1">
        <v>0</v>
      </c>
      <c r="V95" s="1">
        <v>0</v>
      </c>
      <c r="W95" s="1">
        <v>0</v>
      </c>
    </row>
    <row r="96" spans="1:23" x14ac:dyDescent="0.25">
      <c r="A96" s="1">
        <v>71</v>
      </c>
      <c r="B96" s="19">
        <v>0</v>
      </c>
      <c r="C96" s="19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1">
        <v>0</v>
      </c>
      <c r="K96" s="1">
        <v>0</v>
      </c>
      <c r="L96" s="1">
        <v>0</v>
      </c>
      <c r="M96" s="20">
        <v>0</v>
      </c>
      <c r="N96" s="20">
        <v>0</v>
      </c>
      <c r="O96" s="1">
        <v>0</v>
      </c>
      <c r="P96" s="20">
        <v>0</v>
      </c>
      <c r="Q96" s="20">
        <v>0</v>
      </c>
      <c r="R96" s="1">
        <v>0</v>
      </c>
      <c r="S96" s="20">
        <v>0</v>
      </c>
      <c r="T96" s="1">
        <v>0</v>
      </c>
      <c r="U96" s="1">
        <v>0</v>
      </c>
      <c r="V96" s="1">
        <v>0</v>
      </c>
      <c r="W96" s="1">
        <v>0</v>
      </c>
    </row>
    <row r="97" spans="1:23" x14ac:dyDescent="0.25">
      <c r="A97" s="1">
        <v>72</v>
      </c>
      <c r="B97" s="19">
        <v>0</v>
      </c>
      <c r="C97" s="19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1">
        <v>0</v>
      </c>
      <c r="K97" s="1">
        <v>0</v>
      </c>
      <c r="L97" s="1">
        <v>0</v>
      </c>
      <c r="M97" s="20">
        <v>0</v>
      </c>
      <c r="N97" s="20">
        <v>0</v>
      </c>
      <c r="O97" s="1">
        <v>0</v>
      </c>
      <c r="P97" s="20">
        <v>0</v>
      </c>
      <c r="Q97" s="20">
        <v>0</v>
      </c>
      <c r="R97" s="1">
        <v>0</v>
      </c>
      <c r="S97" s="20">
        <v>0</v>
      </c>
      <c r="T97" s="1">
        <v>0</v>
      </c>
      <c r="U97" s="1">
        <v>0</v>
      </c>
      <c r="V97" s="1">
        <v>0</v>
      </c>
      <c r="W97" s="1">
        <v>0</v>
      </c>
    </row>
    <row r="98" spans="1:23" x14ac:dyDescent="0.25">
      <c r="A98" s="1">
        <v>73</v>
      </c>
      <c r="B98" s="19">
        <v>0</v>
      </c>
      <c r="C98" s="19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1">
        <v>0</v>
      </c>
      <c r="K98" s="1">
        <v>0</v>
      </c>
      <c r="L98" s="1">
        <v>0</v>
      </c>
      <c r="M98" s="20">
        <v>0</v>
      </c>
      <c r="N98" s="20">
        <v>0</v>
      </c>
      <c r="O98" s="1">
        <v>0</v>
      </c>
      <c r="P98" s="20">
        <v>0</v>
      </c>
      <c r="Q98" s="20">
        <v>0</v>
      </c>
      <c r="R98" s="1">
        <v>0</v>
      </c>
      <c r="S98" s="20">
        <v>0</v>
      </c>
      <c r="T98" s="1">
        <v>0</v>
      </c>
      <c r="U98" s="1">
        <v>0</v>
      </c>
      <c r="V98" s="1">
        <v>0</v>
      </c>
      <c r="W98" s="1">
        <v>0</v>
      </c>
    </row>
    <row r="99" spans="1:23" x14ac:dyDescent="0.25">
      <c r="A99" s="1">
        <v>74</v>
      </c>
      <c r="B99" s="19">
        <v>0</v>
      </c>
      <c r="C99" s="19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1">
        <v>0</v>
      </c>
      <c r="K99" s="1">
        <v>0</v>
      </c>
      <c r="L99" s="1">
        <v>0</v>
      </c>
      <c r="M99" s="20">
        <v>0</v>
      </c>
      <c r="N99" s="20">
        <v>0</v>
      </c>
      <c r="O99" s="1">
        <v>0</v>
      </c>
      <c r="P99" s="20">
        <v>0</v>
      </c>
      <c r="Q99" s="20">
        <v>0</v>
      </c>
      <c r="R99" s="1">
        <v>0</v>
      </c>
      <c r="S99" s="20">
        <v>0</v>
      </c>
      <c r="T99" s="1">
        <v>0</v>
      </c>
      <c r="U99" s="1">
        <v>0</v>
      </c>
      <c r="V99" s="1">
        <v>0</v>
      </c>
      <c r="W99" s="1">
        <v>0</v>
      </c>
    </row>
    <row r="100" spans="1:23" x14ac:dyDescent="0.25">
      <c r="B100" s="19"/>
      <c r="C100" s="19"/>
      <c r="D100" s="20"/>
      <c r="E100" s="20"/>
      <c r="F100" s="20"/>
      <c r="G100" s="20"/>
      <c r="H100" s="20"/>
      <c r="I100" s="20"/>
      <c r="M100" s="30" t="s">
        <v>39</v>
      </c>
      <c r="N100" s="20"/>
      <c r="P100" s="20"/>
      <c r="Q100" s="20"/>
      <c r="S100" s="20"/>
    </row>
    <row r="101" spans="1:23" x14ac:dyDescent="0.25">
      <c r="A101" s="1">
        <v>75</v>
      </c>
      <c r="B101" s="19">
        <v>0</v>
      </c>
      <c r="C101" s="19">
        <v>0</v>
      </c>
      <c r="D101" s="20">
        <v>0</v>
      </c>
      <c r="E101" s="20">
        <v>0</v>
      </c>
      <c r="F101" s="20">
        <v>0</v>
      </c>
      <c r="G101" s="20">
        <v>0</v>
      </c>
      <c r="H101" s="20">
        <v>0</v>
      </c>
      <c r="I101" s="20">
        <v>0</v>
      </c>
      <c r="J101" s="1">
        <v>0</v>
      </c>
      <c r="K101" s="1">
        <v>0</v>
      </c>
      <c r="L101" s="1">
        <v>0</v>
      </c>
      <c r="M101" s="20">
        <v>0</v>
      </c>
      <c r="N101" s="20">
        <v>0</v>
      </c>
      <c r="O101" s="1">
        <v>0</v>
      </c>
      <c r="P101" s="20">
        <v>0</v>
      </c>
      <c r="Q101" s="20">
        <v>0</v>
      </c>
      <c r="R101" s="1">
        <v>0</v>
      </c>
      <c r="S101" s="20">
        <v>0</v>
      </c>
      <c r="T101" s="1">
        <v>0</v>
      </c>
      <c r="U101" s="1">
        <v>0</v>
      </c>
      <c r="V101" s="1">
        <v>0</v>
      </c>
      <c r="W101" s="1">
        <v>0</v>
      </c>
    </row>
    <row r="102" spans="1:23" x14ac:dyDescent="0.25">
      <c r="A102" s="1">
        <v>76</v>
      </c>
      <c r="B102" s="19">
        <v>0</v>
      </c>
      <c r="C102" s="19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1">
        <v>0</v>
      </c>
      <c r="K102" s="1">
        <v>0</v>
      </c>
      <c r="L102" s="1">
        <v>0</v>
      </c>
      <c r="M102" s="20">
        <v>0</v>
      </c>
      <c r="N102" s="20">
        <v>0</v>
      </c>
      <c r="O102" s="1">
        <v>0</v>
      </c>
      <c r="P102" s="20">
        <v>0</v>
      </c>
      <c r="Q102" s="20">
        <v>0</v>
      </c>
      <c r="R102" s="1">
        <v>0</v>
      </c>
      <c r="S102" s="20">
        <v>0</v>
      </c>
      <c r="T102" s="1">
        <v>0</v>
      </c>
      <c r="U102" s="1">
        <v>0</v>
      </c>
      <c r="V102" s="1">
        <v>0</v>
      </c>
      <c r="W102" s="1">
        <v>0</v>
      </c>
    </row>
    <row r="103" spans="1:23" x14ac:dyDescent="0.25">
      <c r="A103" s="1">
        <v>77</v>
      </c>
      <c r="B103" s="19">
        <v>89</v>
      </c>
      <c r="C103" s="19">
        <v>550.29999999999995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1">
        <v>0</v>
      </c>
      <c r="K103" s="1">
        <v>0</v>
      </c>
      <c r="L103" s="1">
        <v>0</v>
      </c>
      <c r="M103" s="20">
        <v>0</v>
      </c>
      <c r="N103" s="20">
        <v>0</v>
      </c>
      <c r="O103" s="1">
        <v>0</v>
      </c>
      <c r="P103" s="20">
        <v>0</v>
      </c>
      <c r="Q103" s="20">
        <v>0</v>
      </c>
      <c r="R103" s="1">
        <v>0</v>
      </c>
      <c r="S103" s="20">
        <v>0</v>
      </c>
      <c r="T103" s="1">
        <v>0</v>
      </c>
      <c r="U103" s="1">
        <v>0</v>
      </c>
      <c r="V103" s="1">
        <v>0</v>
      </c>
      <c r="W103" s="1">
        <v>0</v>
      </c>
    </row>
    <row r="104" spans="1:23" x14ac:dyDescent="0.25">
      <c r="A104" s="1">
        <v>78</v>
      </c>
      <c r="B104" s="19">
        <v>0</v>
      </c>
      <c r="C104" s="19">
        <v>0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1">
        <v>0</v>
      </c>
      <c r="K104" s="1">
        <v>0</v>
      </c>
      <c r="L104" s="1">
        <v>0</v>
      </c>
      <c r="M104" s="20">
        <v>0</v>
      </c>
      <c r="N104" s="20">
        <v>0</v>
      </c>
      <c r="O104" s="1">
        <v>0</v>
      </c>
      <c r="P104" s="20">
        <v>0</v>
      </c>
      <c r="Q104" s="20">
        <v>0</v>
      </c>
      <c r="R104" s="1">
        <v>0</v>
      </c>
      <c r="S104" s="20">
        <v>0</v>
      </c>
      <c r="T104" s="1">
        <v>0</v>
      </c>
      <c r="U104" s="1">
        <v>0</v>
      </c>
      <c r="V104" s="1">
        <v>0</v>
      </c>
      <c r="W104" s="1">
        <v>0</v>
      </c>
    </row>
    <row r="105" spans="1:23" x14ac:dyDescent="0.25">
      <c r="B105" s="19"/>
      <c r="C105" s="19"/>
      <c r="D105" s="20"/>
      <c r="E105" s="20"/>
      <c r="F105" s="20"/>
      <c r="G105" s="20"/>
      <c r="H105" s="20"/>
      <c r="I105" s="20"/>
      <c r="M105" s="30" t="s">
        <v>40</v>
      </c>
      <c r="N105" s="20"/>
      <c r="P105" s="20"/>
      <c r="Q105" s="20"/>
      <c r="S105" s="20"/>
    </row>
    <row r="106" spans="1:23" x14ac:dyDescent="0.25">
      <c r="A106" s="1">
        <v>79</v>
      </c>
      <c r="B106" s="19">
        <v>0</v>
      </c>
      <c r="C106" s="19">
        <v>0</v>
      </c>
      <c r="D106" s="20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1">
        <v>0</v>
      </c>
      <c r="K106" s="1">
        <v>0</v>
      </c>
      <c r="L106" s="1">
        <v>0</v>
      </c>
      <c r="M106" s="20">
        <v>0</v>
      </c>
      <c r="N106" s="20">
        <v>0</v>
      </c>
      <c r="O106" s="1">
        <v>0</v>
      </c>
      <c r="P106" s="20">
        <v>0</v>
      </c>
      <c r="Q106" s="20">
        <v>0</v>
      </c>
      <c r="R106" s="1">
        <v>0</v>
      </c>
      <c r="S106" s="20">
        <v>0</v>
      </c>
      <c r="T106" s="1">
        <v>0</v>
      </c>
      <c r="U106" s="1">
        <v>0</v>
      </c>
      <c r="V106" s="1">
        <v>0</v>
      </c>
      <c r="W106" s="1">
        <v>0</v>
      </c>
    </row>
    <row r="107" spans="1:23" x14ac:dyDescent="0.25">
      <c r="B107" s="19"/>
      <c r="C107" s="19"/>
      <c r="D107" s="20"/>
      <c r="E107" s="20"/>
      <c r="F107" s="20"/>
      <c r="G107" s="20"/>
      <c r="H107" s="20"/>
      <c r="I107" s="20"/>
      <c r="M107" s="20"/>
      <c r="N107" s="20"/>
      <c r="P107" s="20"/>
      <c r="Q107" s="20"/>
      <c r="S107" s="20"/>
    </row>
    <row r="108" spans="1:23" x14ac:dyDescent="0.25">
      <c r="A108" s="29" t="s">
        <v>43</v>
      </c>
    </row>
    <row r="109" spans="1:23" x14ac:dyDescent="0.25">
      <c r="A109" s="29" t="s">
        <v>44</v>
      </c>
    </row>
    <row r="110" spans="1:23" x14ac:dyDescent="0.25">
      <c r="A110" s="29" t="s">
        <v>45</v>
      </c>
    </row>
    <row r="111" spans="1:23" x14ac:dyDescent="0.25">
      <c r="A111" s="29" t="s">
        <v>46</v>
      </c>
    </row>
    <row r="112" spans="1:23" x14ac:dyDescent="0.25">
      <c r="A112" s="29"/>
    </row>
    <row r="113" spans="1:23" x14ac:dyDescent="0.25">
      <c r="A113" s="29" t="s">
        <v>47</v>
      </c>
    </row>
    <row r="114" spans="1:23" x14ac:dyDescent="0.25">
      <c r="A114" s="29" t="s">
        <v>48</v>
      </c>
    </row>
    <row r="115" spans="1:23" x14ac:dyDescent="0.25">
      <c r="A115" s="29" t="s">
        <v>49</v>
      </c>
    </row>
    <row r="116" spans="1:23" x14ac:dyDescent="0.25">
      <c r="A116" s="29" t="s">
        <v>50</v>
      </c>
    </row>
    <row r="117" spans="1:23" x14ac:dyDescent="0.25">
      <c r="A117" s="29"/>
    </row>
    <row r="118" spans="1:23" x14ac:dyDescent="0.25">
      <c r="A118" s="29" t="s">
        <v>51</v>
      </c>
      <c r="G118" s="39">
        <v>41664</v>
      </c>
      <c r="H118" s="40"/>
    </row>
    <row r="119" spans="1:23" x14ac:dyDescent="0.25">
      <c r="A119" s="31" t="s">
        <v>52</v>
      </c>
      <c r="B119" s="2"/>
      <c r="C119" s="2"/>
      <c r="D119" s="2"/>
      <c r="E119" s="2"/>
      <c r="F119" s="2"/>
      <c r="G119" s="41">
        <v>0.91100000000000003</v>
      </c>
      <c r="H119" s="4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32" spans="12:12" x14ac:dyDescent="0.25">
      <c r="L132" s="1">
        <v>1.1200000000000001</v>
      </c>
    </row>
  </sheetData>
  <mergeCells count="10">
    <mergeCell ref="G118:H118"/>
    <mergeCell ref="G119:H119"/>
    <mergeCell ref="A5:A6"/>
    <mergeCell ref="D5:I5"/>
    <mergeCell ref="J5:L5"/>
    <mergeCell ref="N5:P5"/>
    <mergeCell ref="W5:W6"/>
    <mergeCell ref="Q5:S5"/>
    <mergeCell ref="T5:U5"/>
    <mergeCell ref="V5:V6"/>
  </mergeCells>
  <phoneticPr fontId="0" type="noConversion"/>
  <pageMargins left="1.5748031496062993" right="0.39370078740157483" top="0.78740157480314965" bottom="0.78740157480314965" header="0.51181102362204722" footer="0.31496062992125984"/>
  <pageSetup paperSize="8" scale="84" fitToHeight="100" orientation="landscape" r:id="rId1"/>
  <headerFooter alignWithMargins="0">
    <oddHeader>&amp;RСтраница &amp;P
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1"/>
  <sheetViews>
    <sheetView zoomScale="90" zoomScaleNormal="90" workbookViewId="0">
      <selection activeCell="C88" sqref="C88"/>
    </sheetView>
  </sheetViews>
  <sheetFormatPr defaultColWidth="9.109375" defaultRowHeight="13.2" x14ac:dyDescent="0.25"/>
  <cols>
    <col min="1" max="1" width="4.33203125" style="1" customWidth="1"/>
    <col min="2" max="2" width="8" style="1" customWidth="1"/>
    <col min="3" max="3" width="6.33203125" style="1" customWidth="1"/>
    <col min="4" max="4" width="8" style="1" customWidth="1"/>
    <col min="5" max="7" width="5.6640625" style="1" customWidth="1"/>
    <col min="8" max="8" width="6.33203125" style="1" customWidth="1"/>
    <col min="9" max="10" width="5.6640625" style="1" customWidth="1"/>
    <col min="11" max="11" width="13.88671875" style="1" customWidth="1"/>
    <col min="12" max="12" width="11.88671875" style="1" customWidth="1"/>
    <col min="13" max="13" width="14" style="1" customWidth="1"/>
    <col min="14" max="14" width="7.44140625" style="1" customWidth="1"/>
    <col min="15" max="15" width="14" style="1" customWidth="1"/>
    <col min="16" max="16" width="12" style="1" customWidth="1"/>
    <col min="17" max="17" width="13.6640625" style="1" customWidth="1"/>
    <col min="18" max="18" width="17.33203125" style="1" customWidth="1"/>
    <col min="19" max="19" width="12.88671875" style="1" customWidth="1"/>
    <col min="20" max="20" width="17.6640625" style="1" customWidth="1"/>
    <col min="21" max="21" width="8.44140625" style="1" customWidth="1"/>
    <col min="22" max="22" width="5.6640625" style="1" customWidth="1"/>
    <col min="23" max="23" width="8.33203125" style="1" customWidth="1"/>
    <col min="24" max="24" width="5.109375" style="1" customWidth="1"/>
    <col min="25" max="16384" width="9.109375" style="1"/>
  </cols>
  <sheetData>
    <row r="1" spans="1:24" ht="15.6" x14ac:dyDescent="0.25">
      <c r="T1" s="17" t="s">
        <v>23</v>
      </c>
    </row>
    <row r="2" spans="1:24" s="14" customFormat="1" ht="13.8" x14ac:dyDescent="0.25">
      <c r="A2" s="14" t="s">
        <v>64</v>
      </c>
      <c r="N2" s="15" t="s">
        <v>22</v>
      </c>
    </row>
    <row r="3" spans="1:24" s="14" customFormat="1" ht="13.8" x14ac:dyDescent="0.25">
      <c r="A3" s="14" t="s">
        <v>60</v>
      </c>
      <c r="N3" s="15" t="s">
        <v>61</v>
      </c>
    </row>
    <row r="4" spans="1:24" x14ac:dyDescent="0.25">
      <c r="K4" s="12"/>
      <c r="M4" s="18" t="s">
        <v>58</v>
      </c>
      <c r="N4" s="16" t="s">
        <v>62</v>
      </c>
    </row>
    <row r="5" spans="1:24" ht="48" customHeight="1" x14ac:dyDescent="0.25">
      <c r="A5" s="32" t="s">
        <v>1</v>
      </c>
      <c r="B5" s="32" t="s">
        <v>7</v>
      </c>
      <c r="C5" s="3" t="s">
        <v>5</v>
      </c>
      <c r="D5" s="3" t="s">
        <v>12</v>
      </c>
      <c r="E5" s="34" t="s">
        <v>0</v>
      </c>
      <c r="F5" s="35"/>
      <c r="G5" s="35"/>
      <c r="H5" s="35"/>
      <c r="I5" s="36"/>
      <c r="J5" s="37"/>
      <c r="K5" s="34" t="s">
        <v>26</v>
      </c>
      <c r="L5" s="36"/>
      <c r="M5" s="37"/>
      <c r="N5" s="4" t="s">
        <v>6</v>
      </c>
      <c r="O5" s="34" t="s">
        <v>27</v>
      </c>
      <c r="P5" s="35"/>
      <c r="Q5" s="38"/>
      <c r="R5" s="34" t="s">
        <v>28</v>
      </c>
      <c r="S5" s="36"/>
      <c r="T5" s="37"/>
      <c r="U5" s="43" t="s">
        <v>2</v>
      </c>
      <c r="V5" s="36"/>
      <c r="W5" s="32" t="s">
        <v>8</v>
      </c>
      <c r="X5" s="32" t="s">
        <v>9</v>
      </c>
    </row>
    <row r="6" spans="1:24" ht="24.75" customHeight="1" x14ac:dyDescent="0.25">
      <c r="A6" s="33"/>
      <c r="B6" s="33"/>
      <c r="C6" s="5" t="s">
        <v>10</v>
      </c>
      <c r="D6" s="5" t="s">
        <v>11</v>
      </c>
      <c r="E6" s="6" t="s">
        <v>18</v>
      </c>
      <c r="F6" s="7" t="s">
        <v>19</v>
      </c>
      <c r="G6" s="7" t="s">
        <v>20</v>
      </c>
      <c r="H6" s="7" t="s">
        <v>21</v>
      </c>
      <c r="I6" s="7" t="s">
        <v>3</v>
      </c>
      <c r="J6" s="7" t="s">
        <v>4</v>
      </c>
      <c r="K6" s="7" t="s">
        <v>14</v>
      </c>
      <c r="L6" s="8" t="s">
        <v>17</v>
      </c>
      <c r="M6" s="7" t="s">
        <v>16</v>
      </c>
      <c r="N6" s="5" t="s">
        <v>13</v>
      </c>
      <c r="O6" s="7" t="s">
        <v>14</v>
      </c>
      <c r="P6" s="8" t="s">
        <v>17</v>
      </c>
      <c r="Q6" s="7" t="s">
        <v>15</v>
      </c>
      <c r="R6" s="7" t="s">
        <v>14</v>
      </c>
      <c r="S6" s="8" t="s">
        <v>17</v>
      </c>
      <c r="T6" s="7" t="s">
        <v>15</v>
      </c>
      <c r="U6" s="7" t="s">
        <v>24</v>
      </c>
      <c r="V6" s="13" t="s">
        <v>25</v>
      </c>
      <c r="W6" s="33"/>
      <c r="X6" s="33"/>
    </row>
    <row r="7" spans="1:24" s="11" customFormat="1" ht="10.199999999999999" x14ac:dyDescent="0.2">
      <c r="A7" s="10">
        <v>1</v>
      </c>
      <c r="B7" s="10">
        <v>2</v>
      </c>
      <c r="C7" s="10">
        <v>3</v>
      </c>
      <c r="D7" s="10">
        <v>4</v>
      </c>
      <c r="E7" s="10">
        <v>5</v>
      </c>
      <c r="F7" s="10">
        <v>6</v>
      </c>
      <c r="G7" s="10">
        <v>7</v>
      </c>
      <c r="H7" s="10">
        <v>8</v>
      </c>
      <c r="I7" s="10">
        <v>9</v>
      </c>
      <c r="J7" s="10">
        <v>10</v>
      </c>
      <c r="K7" s="10">
        <v>11</v>
      </c>
      <c r="L7" s="10">
        <v>12</v>
      </c>
      <c r="M7" s="10">
        <v>13</v>
      </c>
      <c r="N7" s="10">
        <v>14</v>
      </c>
      <c r="O7" s="10">
        <v>15</v>
      </c>
      <c r="P7" s="10">
        <v>16</v>
      </c>
      <c r="Q7" s="10">
        <v>17</v>
      </c>
      <c r="R7" s="10">
        <v>18</v>
      </c>
      <c r="S7" s="10">
        <v>19</v>
      </c>
      <c r="T7" s="10">
        <v>20</v>
      </c>
      <c r="U7" s="10">
        <v>21</v>
      </c>
      <c r="V7" s="10">
        <v>22</v>
      </c>
      <c r="W7" s="10">
        <v>23</v>
      </c>
      <c r="X7" s="10">
        <v>24</v>
      </c>
    </row>
    <row r="8" spans="1:24" x14ac:dyDescent="0.25">
      <c r="N8" s="18" t="s">
        <v>30</v>
      </c>
    </row>
    <row r="9" spans="1:24" x14ac:dyDescent="0.25">
      <c r="A9" s="1">
        <v>1</v>
      </c>
      <c r="B9" s="1">
        <f>(C9-15)+112</f>
        <v>265.3</v>
      </c>
      <c r="C9" s="19">
        <v>168.3</v>
      </c>
      <c r="D9" s="19">
        <v>1108.8</v>
      </c>
      <c r="E9" s="21">
        <v>0</v>
      </c>
      <c r="F9" s="21">
        <v>0.88</v>
      </c>
      <c r="G9" s="21">
        <v>1.2</v>
      </c>
      <c r="H9" s="21">
        <v>0.83</v>
      </c>
      <c r="I9" s="19">
        <v>2</v>
      </c>
      <c r="J9" s="19">
        <v>-0.5</v>
      </c>
      <c r="K9" s="1">
        <f>1485.013*(0.921)</f>
        <v>1367.6969730000001</v>
      </c>
      <c r="L9" s="1">
        <v>0</v>
      </c>
      <c r="M9" s="1">
        <f>1485.013*(0.921)</f>
        <v>1367.6969730000001</v>
      </c>
      <c r="N9" s="20">
        <v>47.904000000000003</v>
      </c>
      <c r="O9" s="1">
        <f>9970.247*(0.921)</f>
        <v>9182.5974869999991</v>
      </c>
      <c r="P9" s="1">
        <v>3</v>
      </c>
      <c r="Q9" s="1">
        <f>9973.247*(0.921)</f>
        <v>9185.3604869999999</v>
      </c>
      <c r="R9" s="1">
        <f>6408746.701*(0.921)</f>
        <v>5902455.7116210004</v>
      </c>
      <c r="S9" s="1">
        <f>11971*(0.921)</f>
        <v>11025.291000000001</v>
      </c>
      <c r="T9" s="1">
        <f>6420717.701*(0.921)</f>
        <v>5913481.0026210006</v>
      </c>
      <c r="U9" s="1">
        <v>744</v>
      </c>
      <c r="V9" s="1">
        <v>0</v>
      </c>
      <c r="W9" s="1">
        <v>744</v>
      </c>
      <c r="X9" s="1">
        <v>0</v>
      </c>
    </row>
    <row r="10" spans="1:24" x14ac:dyDescent="0.25">
      <c r="A10" s="1">
        <v>2</v>
      </c>
      <c r="B10" s="1">
        <f>(C10-15)+112</f>
        <v>265.3</v>
      </c>
      <c r="C10" s="19">
        <v>168.3</v>
      </c>
      <c r="D10" s="19">
        <v>1168.4000000000001</v>
      </c>
      <c r="E10" s="21">
        <v>0</v>
      </c>
      <c r="F10" s="21">
        <v>0.88</v>
      </c>
      <c r="G10" s="21">
        <v>1.2</v>
      </c>
      <c r="H10" s="21">
        <v>0.83</v>
      </c>
      <c r="I10" s="19">
        <v>4.5</v>
      </c>
      <c r="J10" s="19">
        <v>-0.5</v>
      </c>
      <c r="K10" s="1">
        <f>3316.564*(0.921)</f>
        <v>3054.5554440000001</v>
      </c>
      <c r="L10" s="1">
        <v>2</v>
      </c>
      <c r="M10" s="1">
        <f>3318.564*(0.921)</f>
        <v>3056.3974440000002</v>
      </c>
      <c r="N10" s="20">
        <v>107.13</v>
      </c>
      <c r="O10" s="1">
        <f>21552.333*(0.921)</f>
        <v>19849.698692999998</v>
      </c>
      <c r="P10" s="1">
        <v>26</v>
      </c>
      <c r="Q10" s="1">
        <f>21578.333*(0.921)</f>
        <v>19873.644692999998</v>
      </c>
      <c r="R10" s="1">
        <f>7649986.585*(0.921)</f>
        <v>7045637.644785</v>
      </c>
      <c r="S10" s="1">
        <f>13055*(0.921)</f>
        <v>12023.655000000001</v>
      </c>
      <c r="T10" s="1">
        <f>7663041.585*(0.921)</f>
        <v>7057661.2997850003</v>
      </c>
      <c r="U10" s="1">
        <v>743</v>
      </c>
      <c r="V10" s="1">
        <v>1</v>
      </c>
      <c r="W10" s="1">
        <v>744</v>
      </c>
      <c r="X10" s="1">
        <v>341</v>
      </c>
    </row>
    <row r="11" spans="1:24" x14ac:dyDescent="0.25">
      <c r="A11" s="1">
        <v>3</v>
      </c>
      <c r="B11" s="1">
        <f>(C11-15)+112</f>
        <v>265.3</v>
      </c>
      <c r="C11" s="19">
        <v>168.3</v>
      </c>
      <c r="D11" s="19">
        <v>1111</v>
      </c>
      <c r="E11" s="21">
        <v>0</v>
      </c>
      <c r="F11" s="21">
        <v>0.88</v>
      </c>
      <c r="G11" s="21">
        <v>1.2</v>
      </c>
      <c r="H11" s="21">
        <v>0.83</v>
      </c>
      <c r="I11" s="19">
        <v>0.5</v>
      </c>
      <c r="J11" s="19">
        <v>-0.5</v>
      </c>
      <c r="K11" s="1">
        <f>3262.636*(0.921)</f>
        <v>3004.8877560000001</v>
      </c>
      <c r="L11" s="1">
        <v>3</v>
      </c>
      <c r="M11" s="1">
        <f>3265.636*(0.921)</f>
        <v>3007.650756</v>
      </c>
      <c r="N11" s="20">
        <v>105.38800000000001</v>
      </c>
      <c r="O11" s="1">
        <f>20966.101*(0.921)</f>
        <v>19309.779020999998</v>
      </c>
      <c r="P11" s="1">
        <v>919</v>
      </c>
      <c r="Q11" s="1">
        <f>21885.101*(0.921)</f>
        <v>20156.178021</v>
      </c>
      <c r="R11" s="1">
        <f>7158246.094*(0.921)</f>
        <v>6592744.6525739999</v>
      </c>
      <c r="S11" s="1">
        <f>13948*(0.921)</f>
        <v>12846.108</v>
      </c>
      <c r="T11" s="1">
        <f>7172194.094*(0.921)</f>
        <v>6605590.760574</v>
      </c>
      <c r="U11" s="1">
        <v>743</v>
      </c>
      <c r="V11" s="1">
        <v>1</v>
      </c>
      <c r="W11" s="1">
        <v>744</v>
      </c>
      <c r="X11" s="1">
        <v>341</v>
      </c>
    </row>
    <row r="12" spans="1:24" x14ac:dyDescent="0.25">
      <c r="A12" s="1">
        <v>4</v>
      </c>
      <c r="B12" s="1">
        <f>(C12-15)+112</f>
        <v>265.3</v>
      </c>
      <c r="C12" s="19">
        <v>168.3</v>
      </c>
      <c r="D12" s="19">
        <v>1130</v>
      </c>
      <c r="E12" s="21">
        <v>0</v>
      </c>
      <c r="F12" s="21">
        <v>0.88</v>
      </c>
      <c r="G12" s="21">
        <v>1.2</v>
      </c>
      <c r="H12" s="21">
        <v>0.83</v>
      </c>
      <c r="I12" s="19">
        <v>6.5</v>
      </c>
      <c r="J12" s="19">
        <v>-0.5</v>
      </c>
      <c r="K12" s="1">
        <f>2079.017*(0.921)</f>
        <v>1914.7746569999999</v>
      </c>
      <c r="L12" s="1">
        <v>0</v>
      </c>
      <c r="M12" s="1">
        <f>2079.017*(0.921)</f>
        <v>1914.7746569999999</v>
      </c>
      <c r="N12" s="20">
        <v>67.064999999999998</v>
      </c>
      <c r="O12" s="1">
        <f>14289.803*(0.921)</f>
        <v>13160.908563000001</v>
      </c>
      <c r="P12" s="1">
        <v>16</v>
      </c>
      <c r="Q12" s="1">
        <f>14305.803*(0.921)</f>
        <v>13175.644563</v>
      </c>
      <c r="R12" s="1">
        <f>8369255.9*(0.921)</f>
        <v>7708084.6839000005</v>
      </c>
      <c r="S12" s="1">
        <f>7980*(0.921)</f>
        <v>7349.58</v>
      </c>
      <c r="T12" s="1">
        <f>8377235.9*(0.921)</f>
        <v>7715434.2639000006</v>
      </c>
      <c r="U12" s="1">
        <v>744</v>
      </c>
      <c r="V12" s="1">
        <v>0</v>
      </c>
      <c r="W12" s="1">
        <v>744</v>
      </c>
      <c r="X12" s="1">
        <v>0</v>
      </c>
    </row>
    <row r="13" spans="1:24" x14ac:dyDescent="0.25">
      <c r="A13" s="1">
        <v>5</v>
      </c>
      <c r="B13" s="1">
        <f>(C13-15)+112</f>
        <v>265.3</v>
      </c>
      <c r="C13" s="19">
        <v>168.3</v>
      </c>
      <c r="D13" s="19">
        <v>1124</v>
      </c>
      <c r="E13" s="21">
        <v>0</v>
      </c>
      <c r="F13" s="21">
        <v>0.86</v>
      </c>
      <c r="G13" s="21">
        <v>1.2</v>
      </c>
      <c r="H13" s="21">
        <v>0.74</v>
      </c>
      <c r="I13" s="19">
        <v>3.5</v>
      </c>
      <c r="J13" s="19">
        <v>0.1</v>
      </c>
      <c r="K13" s="1">
        <f>404.459*(0.921)</f>
        <v>372.50673900000004</v>
      </c>
      <c r="L13" s="1">
        <v>3</v>
      </c>
      <c r="M13" s="1">
        <f>407.459*(0.921)</f>
        <v>375.26973900000002</v>
      </c>
      <c r="N13" s="20">
        <v>13.065</v>
      </c>
      <c r="O13" s="1">
        <f>11698.661*(0.921)</f>
        <v>10774.466781000001</v>
      </c>
      <c r="P13" s="1">
        <v>6</v>
      </c>
      <c r="Q13" s="1">
        <f>11704.661*(0.921)</f>
        <v>10779.992781000001</v>
      </c>
      <c r="R13" s="1">
        <f>6276458.699*(0.921)</f>
        <v>5780618.4617790002</v>
      </c>
      <c r="S13" s="1">
        <f>11862*(0.921)</f>
        <v>10924.902</v>
      </c>
      <c r="T13" s="1">
        <f>6288320.699*(0.921)</f>
        <v>5791543.363779</v>
      </c>
      <c r="U13" s="1">
        <v>743</v>
      </c>
      <c r="V13" s="1">
        <v>1</v>
      </c>
      <c r="W13" s="1">
        <v>744</v>
      </c>
      <c r="X13" s="1">
        <v>341</v>
      </c>
    </row>
    <row r="14" spans="1:24" x14ac:dyDescent="0.25">
      <c r="A14" s="1">
        <v>6</v>
      </c>
      <c r="B14" s="1">
        <f>(C14-15)+112</f>
        <v>265</v>
      </c>
      <c r="C14" s="19">
        <v>168</v>
      </c>
      <c r="D14" s="19">
        <v>1145.2</v>
      </c>
      <c r="E14" s="21">
        <v>0</v>
      </c>
      <c r="F14" s="21">
        <v>0.86</v>
      </c>
      <c r="G14" s="21">
        <v>1.2</v>
      </c>
      <c r="H14" s="21">
        <v>0.74</v>
      </c>
      <c r="I14" s="19">
        <v>6</v>
      </c>
      <c r="J14" s="19">
        <v>0.1</v>
      </c>
      <c r="K14" s="1">
        <f>2214.018*(0.921)</f>
        <v>2039.110578</v>
      </c>
      <c r="L14" s="1">
        <v>0</v>
      </c>
      <c r="M14" s="1">
        <f>2214.018*(0.921)</f>
        <v>2039.110578</v>
      </c>
      <c r="N14" s="20">
        <v>71.42</v>
      </c>
      <c r="O14" s="1">
        <f>16602.604*(0.921)</f>
        <v>15290.998283999999</v>
      </c>
      <c r="P14" s="1">
        <v>0</v>
      </c>
      <c r="Q14" s="1">
        <f>16602.604*(0.921)</f>
        <v>15290.998283999999</v>
      </c>
      <c r="R14" s="1">
        <f>6288577.828*(0.921)</f>
        <v>5791780.1795880003</v>
      </c>
      <c r="S14" s="1">
        <f>12476*(0.921)</f>
        <v>11490.396000000001</v>
      </c>
      <c r="T14" s="1">
        <f>6301053.828*(0.921)</f>
        <v>5803270.575588</v>
      </c>
      <c r="U14" s="1">
        <v>744</v>
      </c>
      <c r="V14" s="1">
        <v>0</v>
      </c>
      <c r="W14" s="1">
        <v>744</v>
      </c>
      <c r="X14" s="1">
        <v>0</v>
      </c>
    </row>
    <row r="15" spans="1:24" x14ac:dyDescent="0.25">
      <c r="A15" s="1">
        <v>7</v>
      </c>
      <c r="B15" s="1">
        <f>(C15-15)+112</f>
        <v>265.3</v>
      </c>
      <c r="C15" s="19">
        <v>168.3</v>
      </c>
      <c r="D15" s="19">
        <v>1110</v>
      </c>
      <c r="E15" s="21">
        <v>0</v>
      </c>
      <c r="F15" s="21">
        <v>0.86</v>
      </c>
      <c r="G15" s="21">
        <v>1.2</v>
      </c>
      <c r="H15" s="21">
        <v>0.74</v>
      </c>
      <c r="I15" s="19">
        <v>-1.5</v>
      </c>
      <c r="J15" s="19">
        <v>0.1</v>
      </c>
      <c r="K15" s="1">
        <f>1725.692*(0.921)</f>
        <v>1589.3623320000002</v>
      </c>
      <c r="L15" s="1">
        <v>3</v>
      </c>
      <c r="M15" s="1">
        <f>1728.692*(0.921)</f>
        <v>1592.1253320000001</v>
      </c>
      <c r="N15" s="20">
        <v>55.741999999999997</v>
      </c>
      <c r="O15" s="1">
        <f>7943.883*(0.921)</f>
        <v>7316.3162430000002</v>
      </c>
      <c r="P15" s="1">
        <v>54</v>
      </c>
      <c r="Q15" s="1">
        <f>7997.883*(0.921)</f>
        <v>7366.0502430000006</v>
      </c>
      <c r="R15" s="1">
        <f>7894977.064*(0.921)</f>
        <v>7271273.8759440007</v>
      </c>
      <c r="S15" s="1">
        <f>12874*(0.921)</f>
        <v>11856.954</v>
      </c>
      <c r="T15" s="1">
        <f>7907851.064*(0.921)</f>
        <v>7283130.8299440006</v>
      </c>
      <c r="U15" s="1">
        <v>743</v>
      </c>
      <c r="V15" s="1">
        <v>1</v>
      </c>
      <c r="W15" s="1">
        <v>744</v>
      </c>
      <c r="X15" s="1">
        <v>341</v>
      </c>
    </row>
    <row r="16" spans="1:24" x14ac:dyDescent="0.25">
      <c r="A16" s="1">
        <v>8</v>
      </c>
      <c r="B16" s="1">
        <f>(C16-15)+112</f>
        <v>211</v>
      </c>
      <c r="C16" s="19">
        <v>114</v>
      </c>
      <c r="D16" s="19">
        <v>1151.06</v>
      </c>
      <c r="E16" s="21">
        <v>0</v>
      </c>
      <c r="F16" s="21">
        <v>0.86</v>
      </c>
      <c r="G16" s="21">
        <v>1.25</v>
      </c>
      <c r="H16" s="21">
        <v>0.74</v>
      </c>
      <c r="I16" s="19">
        <v>5</v>
      </c>
      <c r="J16" s="19">
        <v>0.1</v>
      </c>
      <c r="K16" s="1">
        <f>1809.015*(0.921)</f>
        <v>1666.1028150000002</v>
      </c>
      <c r="L16" s="1">
        <v>0</v>
      </c>
      <c r="M16" s="1">
        <f>1809.015*(0.921)</f>
        <v>1666.1028150000002</v>
      </c>
      <c r="N16" s="20">
        <v>58.354999999999997</v>
      </c>
      <c r="O16" s="1">
        <f>11223.504*(0.921)</f>
        <v>10336.847184000002</v>
      </c>
      <c r="P16" s="1">
        <v>15</v>
      </c>
      <c r="Q16" s="1">
        <f>11238.504*(0.921)</f>
        <v>10350.662184000001</v>
      </c>
      <c r="R16" s="1">
        <f>6164026.332*(0.921)</f>
        <v>5677068.2517720005</v>
      </c>
      <c r="S16" s="1">
        <f>16314*(0.921)</f>
        <v>15025.194000000001</v>
      </c>
      <c r="T16" s="1">
        <f>6180340.332*(0.921)</f>
        <v>5692093.4457720006</v>
      </c>
      <c r="U16" s="1">
        <v>744</v>
      </c>
      <c r="V16" s="1">
        <v>0</v>
      </c>
      <c r="W16" s="1">
        <v>744</v>
      </c>
      <c r="X16" s="1">
        <v>0</v>
      </c>
    </row>
    <row r="17" spans="1:24" x14ac:dyDescent="0.25">
      <c r="A17" s="1">
        <v>9</v>
      </c>
      <c r="B17" s="1">
        <f>(C17-15)+112</f>
        <v>186</v>
      </c>
      <c r="C17" s="19">
        <v>89</v>
      </c>
      <c r="D17" s="19">
        <v>1130.3599999999999</v>
      </c>
      <c r="E17" s="21">
        <v>0</v>
      </c>
      <c r="F17" s="21">
        <v>0.86</v>
      </c>
      <c r="G17" s="21">
        <v>1.2</v>
      </c>
      <c r="H17" s="21">
        <v>0.74</v>
      </c>
      <c r="I17" s="19">
        <v>3.5</v>
      </c>
      <c r="J17" s="19">
        <v>0.1</v>
      </c>
      <c r="K17" s="1">
        <f>1404.012*(0.921)</f>
        <v>1293.0950519999999</v>
      </c>
      <c r="L17" s="1">
        <v>0</v>
      </c>
      <c r="M17" s="1">
        <f>1404.012*(0.921)</f>
        <v>1293.0950519999999</v>
      </c>
      <c r="N17" s="20">
        <v>45.290999999999997</v>
      </c>
      <c r="O17" s="1">
        <f>9800.395*(0.921)</f>
        <v>9026.1637950000004</v>
      </c>
      <c r="P17" s="1">
        <v>9</v>
      </c>
      <c r="Q17" s="1">
        <f>9809.395*(0.921)</f>
        <v>9034.4527950000011</v>
      </c>
      <c r="R17" s="1">
        <f>5540025.155*(0.921)</f>
        <v>5102363.1677550003</v>
      </c>
      <c r="S17" s="1">
        <f>17478*(0.921)</f>
        <v>16097.238000000001</v>
      </c>
      <c r="T17" s="1">
        <f>5557503.155*(0.921)</f>
        <v>5118460.4057550002</v>
      </c>
      <c r="U17" s="1">
        <v>744</v>
      </c>
      <c r="V17" s="1">
        <v>0</v>
      </c>
      <c r="W17" s="1">
        <v>744</v>
      </c>
      <c r="X17" s="1">
        <v>0</v>
      </c>
    </row>
    <row r="18" spans="1:24" x14ac:dyDescent="0.25">
      <c r="A18" s="1">
        <v>10</v>
      </c>
      <c r="B18" s="1">
        <f>(C18-15)+112</f>
        <v>186</v>
      </c>
      <c r="C18" s="19">
        <v>89</v>
      </c>
      <c r="D18" s="19">
        <v>1160.1500000000001</v>
      </c>
      <c r="E18" s="21">
        <v>0</v>
      </c>
      <c r="F18" s="21">
        <v>0.82</v>
      </c>
      <c r="G18" s="21">
        <v>1.1499999999999999</v>
      </c>
      <c r="H18" s="21">
        <v>0.73</v>
      </c>
      <c r="I18" s="19">
        <v>4.5</v>
      </c>
      <c r="J18" s="19">
        <v>-0.6</v>
      </c>
      <c r="K18" s="1">
        <f>1350.011*(0.921)</f>
        <v>1243.3601310000001</v>
      </c>
      <c r="L18" s="1">
        <v>0</v>
      </c>
      <c r="M18" s="1">
        <f>1350.011*(0.921)</f>
        <v>1243.3601310000001</v>
      </c>
      <c r="N18" s="20">
        <v>43.548999999999999</v>
      </c>
      <c r="O18" s="1">
        <f>9409.773*(0.921)</f>
        <v>8666.400932999999</v>
      </c>
      <c r="P18" s="1">
        <v>10</v>
      </c>
      <c r="Q18" s="1">
        <f>9419.773*(0.921)</f>
        <v>8675.6109329999999</v>
      </c>
      <c r="R18" s="1">
        <f>6313820.895*(0.921)</f>
        <v>5815029.0442949999</v>
      </c>
      <c r="S18" s="1">
        <f>12103*(0.921)</f>
        <v>11146.863000000001</v>
      </c>
      <c r="T18" s="1">
        <f>6325923.895*(0.921)</f>
        <v>5826175.9072949998</v>
      </c>
      <c r="U18" s="1">
        <v>744</v>
      </c>
      <c r="V18" s="1">
        <v>0</v>
      </c>
      <c r="W18" s="1">
        <v>744</v>
      </c>
      <c r="X18" s="1">
        <v>0</v>
      </c>
    </row>
    <row r="19" spans="1:24" x14ac:dyDescent="0.25">
      <c r="A19" s="1">
        <v>11</v>
      </c>
      <c r="B19" s="1">
        <f>(C19-15)+112</f>
        <v>224</v>
      </c>
      <c r="C19" s="19">
        <v>127</v>
      </c>
      <c r="D19" s="19">
        <v>1152</v>
      </c>
      <c r="E19" s="21">
        <v>0</v>
      </c>
      <c r="F19" s="21">
        <v>0.82</v>
      </c>
      <c r="G19" s="21">
        <v>1.1499999999999999</v>
      </c>
      <c r="H19" s="21">
        <v>0.73</v>
      </c>
      <c r="I19" s="19">
        <v>8</v>
      </c>
      <c r="J19" s="19">
        <v>-0.6</v>
      </c>
      <c r="K19" s="1">
        <f>2403.02*(0.921)</f>
        <v>2213.1814199999999</v>
      </c>
      <c r="L19" s="1">
        <v>0</v>
      </c>
      <c r="M19" s="1">
        <f>2403.02*(0.921)</f>
        <v>2213.1814199999999</v>
      </c>
      <c r="N19" s="20">
        <v>77.516999999999996</v>
      </c>
      <c r="O19" s="1">
        <f>21120.063*(0.921)</f>
        <v>19451.578022999998</v>
      </c>
      <c r="P19" s="1">
        <v>11</v>
      </c>
      <c r="Q19" s="1">
        <f>21131.063*(0.921)</f>
        <v>19461.709022999999</v>
      </c>
      <c r="R19" s="1">
        <f>5698391.917*(0.921)</f>
        <v>5248218.9555570008</v>
      </c>
      <c r="S19" s="1">
        <f>7221*(0.921)</f>
        <v>6650.5410000000002</v>
      </c>
      <c r="T19" s="1">
        <f>5705612.917*(0.921)</f>
        <v>5254869.496557001</v>
      </c>
      <c r="U19" s="1">
        <v>744</v>
      </c>
      <c r="V19" s="1">
        <v>0</v>
      </c>
      <c r="W19" s="1">
        <v>744</v>
      </c>
      <c r="X19" s="1">
        <v>0</v>
      </c>
    </row>
    <row r="20" spans="1:24" x14ac:dyDescent="0.25">
      <c r="A20" s="1">
        <v>12</v>
      </c>
      <c r="B20" s="1">
        <f>(C20-15)+112</f>
        <v>186</v>
      </c>
      <c r="C20" s="19">
        <v>89</v>
      </c>
      <c r="D20" s="19">
        <v>1135.78</v>
      </c>
      <c r="E20" s="21">
        <v>0</v>
      </c>
      <c r="F20" s="21">
        <v>0.82</v>
      </c>
      <c r="G20" s="21">
        <v>1.1499999999999999</v>
      </c>
      <c r="H20" s="21">
        <v>0.73</v>
      </c>
      <c r="I20" s="19">
        <v>3</v>
      </c>
      <c r="J20" s="19">
        <v>-0.6</v>
      </c>
      <c r="K20" s="1">
        <f>1782.014*(0.921)</f>
        <v>1641.2348939999999</v>
      </c>
      <c r="L20" s="1">
        <v>0</v>
      </c>
      <c r="M20" s="1">
        <f>1782.014*(0.921)</f>
        <v>1641.2348939999999</v>
      </c>
      <c r="N20" s="20">
        <v>57.484000000000002</v>
      </c>
      <c r="O20" s="1">
        <f>11303.399*(0.921)</f>
        <v>10410.430479000001</v>
      </c>
      <c r="P20" s="1">
        <v>7</v>
      </c>
      <c r="Q20" s="1">
        <f>11310.399*(0.921)</f>
        <v>10416.877479000001</v>
      </c>
      <c r="R20" s="1">
        <f>5455776.165*(0.921)</f>
        <v>5024769.8479650002</v>
      </c>
      <c r="S20" s="1">
        <f>6557*(0.921)</f>
        <v>6038.9970000000003</v>
      </c>
      <c r="T20" s="1">
        <f>5462333.165*(0.921)</f>
        <v>5030808.8449650006</v>
      </c>
      <c r="U20" s="1">
        <v>744</v>
      </c>
      <c r="V20" s="1">
        <v>0</v>
      </c>
      <c r="W20" s="1">
        <v>744</v>
      </c>
      <c r="X20" s="1">
        <v>0</v>
      </c>
    </row>
    <row r="21" spans="1:24" x14ac:dyDescent="0.25">
      <c r="A21" s="1">
        <v>13</v>
      </c>
      <c r="B21" s="1">
        <f>(C21-15)+112</f>
        <v>265.3</v>
      </c>
      <c r="C21" s="19">
        <v>168.3</v>
      </c>
      <c r="D21" s="19">
        <v>1168.2</v>
      </c>
      <c r="E21" s="21">
        <v>0</v>
      </c>
      <c r="F21" s="21">
        <v>0.82</v>
      </c>
      <c r="G21" s="21">
        <v>1.1499999999999999</v>
      </c>
      <c r="H21" s="21">
        <v>0.73</v>
      </c>
      <c r="I21" s="19">
        <v>2</v>
      </c>
      <c r="J21" s="19">
        <v>-0.6</v>
      </c>
      <c r="K21" s="1">
        <f>3321.028*(0.921)</f>
        <v>3058.666788</v>
      </c>
      <c r="L21" s="1">
        <v>0</v>
      </c>
      <c r="M21" s="1">
        <f>3321.028*(0.921)</f>
        <v>3058.666788</v>
      </c>
      <c r="N21" s="20">
        <v>107.13</v>
      </c>
      <c r="O21" s="1">
        <f>25904.215*(0.921)</f>
        <v>23857.782015000001</v>
      </c>
      <c r="P21" s="1">
        <v>356</v>
      </c>
      <c r="Q21" s="1">
        <f>26260.215*(0.921)</f>
        <v>24185.658015000001</v>
      </c>
      <c r="R21" s="1">
        <f>6204810.921*(0.921)</f>
        <v>5714630.8582410002</v>
      </c>
      <c r="S21" s="1">
        <f>5755*(0.921)</f>
        <v>5300.3550000000005</v>
      </c>
      <c r="T21" s="1">
        <f>6210565.921*(0.921)</f>
        <v>5719931.2132410007</v>
      </c>
      <c r="U21" s="1">
        <v>744</v>
      </c>
      <c r="V21" s="1">
        <v>0</v>
      </c>
      <c r="W21" s="1">
        <v>744</v>
      </c>
      <c r="X21" s="1">
        <v>0</v>
      </c>
    </row>
    <row r="22" spans="1:24" x14ac:dyDescent="0.25">
      <c r="A22" s="1">
        <v>14</v>
      </c>
      <c r="B22" s="1">
        <f>(C22-15)+112</f>
        <v>186</v>
      </c>
      <c r="C22" s="19">
        <v>89</v>
      </c>
      <c r="D22" s="19">
        <v>1160</v>
      </c>
      <c r="E22" s="21">
        <v>0</v>
      </c>
      <c r="F22" s="21">
        <v>0.84</v>
      </c>
      <c r="G22" s="21">
        <v>1.1499999999999999</v>
      </c>
      <c r="H22" s="21">
        <v>0.74</v>
      </c>
      <c r="I22" s="19">
        <v>2.5</v>
      </c>
      <c r="J22" s="19">
        <v>1.7</v>
      </c>
      <c r="K22" s="1">
        <f>1644.8*(0.921)</f>
        <v>1514.8607999999999</v>
      </c>
      <c r="L22" s="1">
        <v>2</v>
      </c>
      <c r="M22" s="1">
        <f>1646.8*(0.921)</f>
        <v>1516.7028</v>
      </c>
      <c r="N22" s="20">
        <v>53.128999999999998</v>
      </c>
      <c r="O22" s="1">
        <f>11731.777*(0.921)</f>
        <v>10804.966617</v>
      </c>
      <c r="P22" s="1">
        <v>9</v>
      </c>
      <c r="Q22" s="1">
        <f>11740.777*(0.921)</f>
        <v>10813.255617000001</v>
      </c>
      <c r="R22" s="1">
        <f>7844478.735*(0.921)</f>
        <v>7224764.9149350002</v>
      </c>
      <c r="S22" s="1">
        <f>8025*(0.921)</f>
        <v>7391.0250000000005</v>
      </c>
      <c r="T22" s="1">
        <f>7852503.735*(0.921)</f>
        <v>7232155.9399350006</v>
      </c>
      <c r="U22" s="1">
        <v>743</v>
      </c>
      <c r="V22" s="1">
        <v>1</v>
      </c>
      <c r="W22" s="1">
        <v>744</v>
      </c>
      <c r="X22" s="1">
        <v>341</v>
      </c>
    </row>
    <row r="23" spans="1:24" x14ac:dyDescent="0.25">
      <c r="A23" s="1">
        <v>15</v>
      </c>
      <c r="B23" s="1">
        <f>(C23-15)+112</f>
        <v>265.3</v>
      </c>
      <c r="C23" s="19">
        <v>168.3</v>
      </c>
      <c r="D23" s="19">
        <v>1127</v>
      </c>
      <c r="E23" s="21">
        <v>0</v>
      </c>
      <c r="F23" s="21">
        <v>0.84</v>
      </c>
      <c r="G23" s="21">
        <v>0</v>
      </c>
      <c r="H23" s="21">
        <v>0.74</v>
      </c>
      <c r="I23" s="19">
        <v>4</v>
      </c>
      <c r="J23" s="19">
        <v>1.7</v>
      </c>
      <c r="K23" s="1">
        <f>1836.016*(0.921)</f>
        <v>1690.9707360000002</v>
      </c>
      <c r="L23" s="1">
        <v>0</v>
      </c>
      <c r="M23" s="1">
        <f>1836.016*(0.921)</f>
        <v>1690.9707360000002</v>
      </c>
      <c r="N23" s="20">
        <v>59.225999999999999</v>
      </c>
      <c r="O23" s="1">
        <f>13977.265*(0.921)</f>
        <v>12873.061065</v>
      </c>
      <c r="P23" s="1">
        <v>3</v>
      </c>
      <c r="Q23" s="1">
        <f>13980.265*(0.921)</f>
        <v>12875.824065000001</v>
      </c>
      <c r="R23" s="1">
        <f>6531565.956*(0.921)</f>
        <v>6015572.2454760009</v>
      </c>
      <c r="S23" s="1">
        <f>5607*(0.921)</f>
        <v>5164.0470000000005</v>
      </c>
      <c r="T23" s="1">
        <f>6537172.956*(0.921)</f>
        <v>6020736.2924760003</v>
      </c>
      <c r="U23" s="1">
        <v>744</v>
      </c>
      <c r="V23" s="1">
        <v>0</v>
      </c>
      <c r="W23" s="1">
        <v>744</v>
      </c>
      <c r="X23" s="1">
        <v>0</v>
      </c>
    </row>
    <row r="24" spans="1:24" x14ac:dyDescent="0.25">
      <c r="A24" s="1">
        <v>16</v>
      </c>
      <c r="B24" s="1">
        <f>(C24-15)+112</f>
        <v>265.3</v>
      </c>
      <c r="C24" s="19">
        <v>168.3</v>
      </c>
      <c r="D24" s="19">
        <v>1186</v>
      </c>
      <c r="E24" s="21">
        <v>0</v>
      </c>
      <c r="F24" s="21">
        <v>0.84</v>
      </c>
      <c r="G24" s="21">
        <v>0</v>
      </c>
      <c r="H24" s="21">
        <v>0.74</v>
      </c>
      <c r="I24" s="19">
        <v>5.5</v>
      </c>
      <c r="J24" s="19">
        <v>1.7</v>
      </c>
      <c r="K24" s="1">
        <f>4725.04*(0.921)</f>
        <v>4351.7618400000001</v>
      </c>
      <c r="L24" s="1">
        <v>0</v>
      </c>
      <c r="M24" s="1">
        <f>4725.04*(0.921)</f>
        <v>4351.7618400000001</v>
      </c>
      <c r="N24" s="20">
        <v>152.42099999999999</v>
      </c>
      <c r="O24" s="1">
        <f>30289.258*(0.921)</f>
        <v>27896.406618000005</v>
      </c>
      <c r="P24" s="1">
        <v>27</v>
      </c>
      <c r="Q24" s="1">
        <f>30316.258*(0.921)</f>
        <v>27921.273618000003</v>
      </c>
      <c r="R24" s="1">
        <f>8199879.32*(0.921)</f>
        <v>7552088.8537200009</v>
      </c>
      <c r="S24" s="1">
        <f>6922*(0.921)</f>
        <v>6375.1620000000003</v>
      </c>
      <c r="T24" s="1">
        <f>8206801.32*(0.921)</f>
        <v>7558464.0157200005</v>
      </c>
      <c r="U24" s="1">
        <v>744</v>
      </c>
      <c r="V24" s="1">
        <v>0</v>
      </c>
      <c r="W24" s="1">
        <v>744</v>
      </c>
      <c r="X24" s="1">
        <v>0</v>
      </c>
    </row>
    <row r="25" spans="1:24" x14ac:dyDescent="0.25">
      <c r="A25" s="1">
        <v>17</v>
      </c>
      <c r="B25" s="1">
        <f>(C25-15)+112</f>
        <v>265.3</v>
      </c>
      <c r="C25" s="19">
        <v>168.3</v>
      </c>
      <c r="D25" s="19">
        <v>1148.5999999999999</v>
      </c>
      <c r="E25" s="21">
        <v>0</v>
      </c>
      <c r="F25" s="21">
        <v>0.84</v>
      </c>
      <c r="G25" s="21">
        <v>1.1499999999999999</v>
      </c>
      <c r="H25" s="21">
        <v>0.74</v>
      </c>
      <c r="I25" s="19">
        <v>8</v>
      </c>
      <c r="J25" s="19">
        <v>1.7</v>
      </c>
      <c r="K25" s="1">
        <f>5211.043*(0.921)</f>
        <v>4799.3706030000003</v>
      </c>
      <c r="L25" s="1">
        <v>0</v>
      </c>
      <c r="M25" s="1">
        <f>5211.043*(0.921)</f>
        <v>4799.3706030000003</v>
      </c>
      <c r="N25" s="20">
        <v>168.09800000000001</v>
      </c>
      <c r="O25" s="1">
        <f>34883.296*(0.921)</f>
        <v>32127.515616000004</v>
      </c>
      <c r="P25" s="1">
        <v>28</v>
      </c>
      <c r="Q25" s="1">
        <f>34911.296*(0.921)</f>
        <v>32153.303616000005</v>
      </c>
      <c r="R25" s="1">
        <f>7777449.924*(0.921)</f>
        <v>7163031.3800039999</v>
      </c>
      <c r="S25" s="1">
        <f>7331*(0.921)</f>
        <v>6751.8510000000006</v>
      </c>
      <c r="T25" s="1">
        <f>7784780.924*(0.921)</f>
        <v>7169783.2310039997</v>
      </c>
      <c r="U25" s="1">
        <v>744</v>
      </c>
      <c r="V25" s="1">
        <v>0</v>
      </c>
      <c r="W25" s="1">
        <v>744</v>
      </c>
      <c r="X25" s="1">
        <v>0</v>
      </c>
    </row>
    <row r="26" spans="1:24" x14ac:dyDescent="0.25">
      <c r="A26" s="1">
        <v>18</v>
      </c>
      <c r="B26" s="1">
        <f>(C26-15)+112</f>
        <v>198.6</v>
      </c>
      <c r="C26" s="19">
        <v>101.6</v>
      </c>
      <c r="D26" s="19">
        <v>1165.4000000000001</v>
      </c>
      <c r="E26" s="21">
        <v>0</v>
      </c>
      <c r="F26" s="21">
        <v>0.82</v>
      </c>
      <c r="G26" s="21">
        <v>1.1499999999999999</v>
      </c>
      <c r="H26" s="21">
        <v>0.74</v>
      </c>
      <c r="I26" s="19">
        <v>2</v>
      </c>
      <c r="J26" s="19">
        <v>-5.0999999999999996</v>
      </c>
      <c r="K26" s="1">
        <f>2349.02*(0.921)</f>
        <v>2163.44742</v>
      </c>
      <c r="L26" s="1">
        <v>0</v>
      </c>
      <c r="M26" s="1">
        <f>2349.02*(0.921)</f>
        <v>2163.44742</v>
      </c>
      <c r="N26" s="20">
        <v>75.775000000000006</v>
      </c>
      <c r="O26" s="1">
        <f>15458.038*(0.921)</f>
        <v>14236.852998</v>
      </c>
      <c r="P26" s="1">
        <v>13</v>
      </c>
      <c r="Q26" s="1">
        <f>15471.038*(0.921)</f>
        <v>14248.825998</v>
      </c>
      <c r="R26" s="1">
        <f>6313979.056*(0.921)</f>
        <v>5815174.7105759997</v>
      </c>
      <c r="S26" s="1">
        <f>8325*(0.921)</f>
        <v>7667.3250000000007</v>
      </c>
      <c r="T26" s="1">
        <f>6322304.056*(0.921)</f>
        <v>5822842.0355759999</v>
      </c>
      <c r="U26" s="1">
        <v>744</v>
      </c>
      <c r="V26" s="1">
        <v>0</v>
      </c>
      <c r="W26" s="1">
        <v>744</v>
      </c>
      <c r="X26" s="1">
        <v>0</v>
      </c>
    </row>
    <row r="27" spans="1:24" x14ac:dyDescent="0.25">
      <c r="A27" s="1">
        <v>19</v>
      </c>
      <c r="B27" s="1">
        <f>(C27-15)+112</f>
        <v>211</v>
      </c>
      <c r="C27" s="19">
        <v>114</v>
      </c>
      <c r="D27" s="19">
        <v>1154.0999999999999</v>
      </c>
      <c r="E27" s="21">
        <v>0</v>
      </c>
      <c r="F27" s="21">
        <v>0.82</v>
      </c>
      <c r="G27" s="21">
        <v>1.1499999999999999</v>
      </c>
      <c r="H27" s="21">
        <v>0.74</v>
      </c>
      <c r="I27" s="19">
        <v>0.5</v>
      </c>
      <c r="J27" s="19">
        <v>-5.0999999999999996</v>
      </c>
      <c r="K27" s="1">
        <f>1078.558*(0.921)</f>
        <v>993.35191800000007</v>
      </c>
      <c r="L27" s="1">
        <v>1</v>
      </c>
      <c r="M27" s="1">
        <f>1079.558*(0.921)</f>
        <v>994.272918</v>
      </c>
      <c r="N27" s="20">
        <v>34.838999999999999</v>
      </c>
      <c r="O27" s="1">
        <f>7470.069*(0.921)</f>
        <v>6879.9335490000003</v>
      </c>
      <c r="P27" s="1">
        <v>1</v>
      </c>
      <c r="Q27" s="1">
        <f>7471.069*(0.921)</f>
        <v>6880.8545490000006</v>
      </c>
      <c r="R27" s="1">
        <f>5929365.8*(0.921)</f>
        <v>5460945.9018000001</v>
      </c>
      <c r="S27" s="1">
        <f>14301*(0.921)</f>
        <v>13171.221000000001</v>
      </c>
      <c r="T27" s="1">
        <f>5943666.8*(0.921)</f>
        <v>5474117.1228</v>
      </c>
      <c r="U27" s="1">
        <v>743</v>
      </c>
      <c r="V27" s="1">
        <v>1</v>
      </c>
      <c r="W27" s="1">
        <v>744</v>
      </c>
      <c r="X27" s="1">
        <v>341</v>
      </c>
    </row>
    <row r="28" spans="1:24" x14ac:dyDescent="0.25">
      <c r="A28" s="1">
        <v>20</v>
      </c>
      <c r="B28" s="1">
        <f>(C28-15)+112</f>
        <v>198.6</v>
      </c>
      <c r="C28" s="19">
        <v>101.6</v>
      </c>
      <c r="D28" s="19">
        <v>1095</v>
      </c>
      <c r="E28" s="21">
        <v>0</v>
      </c>
      <c r="F28" s="21">
        <v>0.82</v>
      </c>
      <c r="G28" s="21">
        <v>1.1499999999999999</v>
      </c>
      <c r="H28" s="21">
        <v>0.74</v>
      </c>
      <c r="I28" s="19">
        <v>5</v>
      </c>
      <c r="J28" s="19">
        <v>-5.0999999999999996</v>
      </c>
      <c r="K28" s="1">
        <f>1323.011*(0.921)</f>
        <v>1218.4931309999999</v>
      </c>
      <c r="L28" s="1">
        <v>0</v>
      </c>
      <c r="M28" s="1">
        <f>1323.011*(0.921)</f>
        <v>1218.4931309999999</v>
      </c>
      <c r="N28" s="20">
        <v>42.677999999999997</v>
      </c>
      <c r="O28" s="1">
        <f>9214.311*(0.921)</f>
        <v>8486.3804309999996</v>
      </c>
      <c r="P28" s="1">
        <v>14</v>
      </c>
      <c r="Q28" s="1">
        <f>9228.311*(0.921)</f>
        <v>8499.2744309999998</v>
      </c>
      <c r="R28" s="1">
        <f>7408475.555*(0.921)</f>
        <v>6823205.9861549996</v>
      </c>
      <c r="S28" s="1">
        <f>7208*(0.921)</f>
        <v>6638.5680000000002</v>
      </c>
      <c r="T28" s="1">
        <f>7415683.555*(0.921)</f>
        <v>6829844.5541550005</v>
      </c>
      <c r="U28" s="1">
        <v>744</v>
      </c>
      <c r="V28" s="1">
        <v>0</v>
      </c>
      <c r="W28" s="1">
        <v>744</v>
      </c>
      <c r="X28" s="1">
        <v>0</v>
      </c>
    </row>
    <row r="29" spans="1:24" x14ac:dyDescent="0.25">
      <c r="A29" s="1">
        <v>21</v>
      </c>
      <c r="B29" s="1">
        <f>(C29-15)+112</f>
        <v>265.3</v>
      </c>
      <c r="C29" s="19">
        <v>168.3</v>
      </c>
      <c r="D29" s="19">
        <v>1125.8</v>
      </c>
      <c r="E29" s="21">
        <v>1.3</v>
      </c>
      <c r="F29" s="21">
        <v>0.82</v>
      </c>
      <c r="G29" s="21">
        <v>1.5</v>
      </c>
      <c r="H29" s="21">
        <v>0.74</v>
      </c>
      <c r="I29" s="19">
        <v>-1</v>
      </c>
      <c r="J29" s="19">
        <v>-5.0999999999999996</v>
      </c>
      <c r="K29" s="1">
        <f>1377.011*(0.921)</f>
        <v>1268.2271310000001</v>
      </c>
      <c r="L29" s="1">
        <v>0</v>
      </c>
      <c r="M29" s="1">
        <f>1377.011*(0.921)</f>
        <v>1268.2271310000001</v>
      </c>
      <c r="N29" s="20">
        <v>44.42</v>
      </c>
      <c r="O29" s="1">
        <f>8900.401*(0.921)</f>
        <v>8197.2693209999998</v>
      </c>
      <c r="P29" s="1">
        <v>10</v>
      </c>
      <c r="Q29" s="1">
        <f>8910.401*(0.921)</f>
        <v>8206.4793210000007</v>
      </c>
      <c r="R29" s="1">
        <f>6361139.696*(0.921)</f>
        <v>5858609.6600160003</v>
      </c>
      <c r="S29" s="1">
        <f>8230*(0.921)</f>
        <v>7579.83</v>
      </c>
      <c r="T29" s="1">
        <f>6369369.696*(0.921)</f>
        <v>5866189.4900160003</v>
      </c>
      <c r="U29" s="1">
        <v>744</v>
      </c>
      <c r="V29" s="1">
        <v>0</v>
      </c>
      <c r="W29" s="1">
        <v>744</v>
      </c>
      <c r="X29" s="1">
        <v>0</v>
      </c>
    </row>
    <row r="30" spans="1:24" x14ac:dyDescent="0.25">
      <c r="A30" s="1">
        <v>22</v>
      </c>
      <c r="B30" s="1">
        <f>(C30-15)+112</f>
        <v>199</v>
      </c>
      <c r="C30" s="19">
        <v>102</v>
      </c>
      <c r="D30" s="19">
        <v>1164</v>
      </c>
      <c r="E30" s="21">
        <v>0</v>
      </c>
      <c r="F30" s="21">
        <v>0.85</v>
      </c>
      <c r="G30" s="21">
        <v>1.1499999999999999</v>
      </c>
      <c r="H30" s="21">
        <v>0.75</v>
      </c>
      <c r="I30" s="19">
        <v>2</v>
      </c>
      <c r="J30" s="19">
        <v>2.5</v>
      </c>
      <c r="K30" s="1">
        <f>1458.012*(0.921)</f>
        <v>1342.829052</v>
      </c>
      <c r="L30" s="1">
        <v>0</v>
      </c>
      <c r="M30" s="1">
        <f>1458.012*(0.921)</f>
        <v>1342.829052</v>
      </c>
      <c r="N30" s="20">
        <v>47.033000000000001</v>
      </c>
      <c r="O30" s="1">
        <f>11378.3*(0.921)</f>
        <v>10479.4143</v>
      </c>
      <c r="P30" s="1">
        <v>3</v>
      </c>
      <c r="Q30" s="1">
        <f>11381.3*(0.921)</f>
        <v>10482.177299999999</v>
      </c>
      <c r="R30" s="1">
        <f>7135903.532*(0.921)</f>
        <v>6572167.1529719997</v>
      </c>
      <c r="S30" s="1">
        <f>8906*(0.921)</f>
        <v>8202.4259999999995</v>
      </c>
      <c r="T30" s="1">
        <f>7144809.532*(0.921)</f>
        <v>6580369.5789719997</v>
      </c>
      <c r="U30" s="1">
        <v>744</v>
      </c>
      <c r="V30" s="1">
        <v>0</v>
      </c>
      <c r="W30" s="1">
        <v>744</v>
      </c>
      <c r="X30" s="1">
        <v>0</v>
      </c>
    </row>
    <row r="31" spans="1:24" x14ac:dyDescent="0.25">
      <c r="A31" s="1">
        <v>23</v>
      </c>
      <c r="B31" s="1">
        <f>(C31-15)+112</f>
        <v>211</v>
      </c>
      <c r="C31" s="19">
        <v>114</v>
      </c>
      <c r="D31" s="19">
        <v>1155.68</v>
      </c>
      <c r="E31" s="21">
        <v>0</v>
      </c>
      <c r="F31" s="21">
        <v>0.85</v>
      </c>
      <c r="G31" s="21">
        <v>1.1499999999999999</v>
      </c>
      <c r="H31" s="21">
        <v>0.75</v>
      </c>
      <c r="I31" s="19">
        <v>11</v>
      </c>
      <c r="J31" s="19">
        <v>2.5</v>
      </c>
      <c r="K31" s="1">
        <f>3456.029*(0.921)</f>
        <v>3183.0027090000003</v>
      </c>
      <c r="L31" s="1">
        <v>0</v>
      </c>
      <c r="M31" s="1">
        <f>3456.029*(0.921)</f>
        <v>3183.0027090000003</v>
      </c>
      <c r="N31" s="20">
        <v>111.485</v>
      </c>
      <c r="O31" s="1">
        <f>24012.655*(0.921)</f>
        <v>22115.655255000001</v>
      </c>
      <c r="P31" s="1">
        <v>16</v>
      </c>
      <c r="Q31" s="1">
        <f>24028.655*(0.921)</f>
        <v>22130.391254999999</v>
      </c>
      <c r="R31" s="1">
        <f>5745898.08*(0.921)</f>
        <v>5291972.1316800006</v>
      </c>
      <c r="S31" s="1">
        <f>8142*(0.921)</f>
        <v>7498.7820000000002</v>
      </c>
      <c r="T31" s="1">
        <f>5754040.08*(0.921)</f>
        <v>5299470.9136800002</v>
      </c>
      <c r="U31" s="1">
        <v>744</v>
      </c>
      <c r="V31" s="1">
        <v>0</v>
      </c>
      <c r="W31" s="1">
        <v>744</v>
      </c>
      <c r="X31" s="1">
        <v>0</v>
      </c>
    </row>
    <row r="32" spans="1:24" x14ac:dyDescent="0.25">
      <c r="A32" s="1">
        <v>24</v>
      </c>
      <c r="B32" s="1">
        <f>(C32-15)+112</f>
        <v>211</v>
      </c>
      <c r="C32" s="19">
        <v>114</v>
      </c>
      <c r="D32" s="19">
        <v>1143.9100000000001</v>
      </c>
      <c r="E32" s="21">
        <v>0</v>
      </c>
      <c r="F32" s="21">
        <v>0.85</v>
      </c>
      <c r="G32" s="21">
        <v>1.1499999999999999</v>
      </c>
      <c r="H32" s="21">
        <v>0.75</v>
      </c>
      <c r="I32" s="19">
        <v>9.5</v>
      </c>
      <c r="J32" s="19">
        <v>2.5</v>
      </c>
      <c r="K32" s="1">
        <f>2403.02*(0.921)</f>
        <v>2213.1814199999999</v>
      </c>
      <c r="L32" s="1">
        <v>0</v>
      </c>
      <c r="M32" s="1">
        <f>2403.02*(0.921)</f>
        <v>2213.1814199999999</v>
      </c>
      <c r="N32" s="20">
        <v>77.516999999999996</v>
      </c>
      <c r="O32" s="1">
        <f>16344.977*(0.921)</f>
        <v>15053.723817000002</v>
      </c>
      <c r="P32" s="1">
        <v>17</v>
      </c>
      <c r="Q32" s="1">
        <f>16361.977*(0.921)</f>
        <v>15069.380817000001</v>
      </c>
      <c r="R32" s="1">
        <f>6745448.567*(0.921)</f>
        <v>6212558.1302070003</v>
      </c>
      <c r="S32" s="1">
        <f>11782*(0.921)</f>
        <v>10851.222</v>
      </c>
      <c r="T32" s="1">
        <f>6757230.567*(0.921)</f>
        <v>6223409.3522070004</v>
      </c>
      <c r="U32" s="1">
        <v>744</v>
      </c>
      <c r="V32" s="1">
        <v>0</v>
      </c>
      <c r="W32" s="1">
        <v>744</v>
      </c>
      <c r="X32" s="1">
        <v>0</v>
      </c>
    </row>
    <row r="33" spans="1:24" x14ac:dyDescent="0.25">
      <c r="A33" s="1">
        <v>25</v>
      </c>
      <c r="B33" s="1">
        <f>(C33-15)+112</f>
        <v>265.3</v>
      </c>
      <c r="C33" s="19">
        <v>168.3</v>
      </c>
      <c r="D33" s="19">
        <v>1139.9000000000001</v>
      </c>
      <c r="E33" s="21">
        <v>0</v>
      </c>
      <c r="F33" s="21">
        <v>0.85</v>
      </c>
      <c r="G33" s="21">
        <v>1.1499999999999999</v>
      </c>
      <c r="H33" s="21">
        <v>0.75</v>
      </c>
      <c r="I33" s="19">
        <v>9</v>
      </c>
      <c r="J33" s="19">
        <v>2.5</v>
      </c>
      <c r="K33" s="1">
        <f>3888.032*(0.921)</f>
        <v>3580.8774720000001</v>
      </c>
      <c r="L33" s="1">
        <v>0</v>
      </c>
      <c r="M33" s="1">
        <f>3888.032*(0.921)</f>
        <v>3580.8774720000001</v>
      </c>
      <c r="N33" s="20">
        <v>125.42</v>
      </c>
      <c r="O33" s="1">
        <f>21637.947*(0.921)</f>
        <v>19928.549187000001</v>
      </c>
      <c r="P33" s="1">
        <v>24</v>
      </c>
      <c r="Q33" s="1">
        <f>21661.947*(0.921)</f>
        <v>19950.653187</v>
      </c>
      <c r="R33" s="1">
        <f>8352549.838*(0.921)</f>
        <v>7692698.4007980004</v>
      </c>
      <c r="S33" s="1">
        <f>6410*(0.921)</f>
        <v>5903.6100000000006</v>
      </c>
      <c r="T33" s="1">
        <f>8358959.838*(0.921)</f>
        <v>7698602.0107980007</v>
      </c>
      <c r="U33" s="1">
        <v>744</v>
      </c>
      <c r="V33" s="1">
        <v>0</v>
      </c>
      <c r="W33" s="1">
        <v>744</v>
      </c>
      <c r="X33" s="1">
        <v>0</v>
      </c>
    </row>
    <row r="34" spans="1:24" x14ac:dyDescent="0.25">
      <c r="A34" s="1">
        <v>26</v>
      </c>
      <c r="B34" s="1">
        <f>(C34-15)+112</f>
        <v>265</v>
      </c>
      <c r="C34" s="19">
        <v>168</v>
      </c>
      <c r="D34" s="19">
        <v>1142.18</v>
      </c>
      <c r="E34" s="21">
        <v>0</v>
      </c>
      <c r="F34" s="21">
        <v>0.92</v>
      </c>
      <c r="G34" s="21">
        <v>1.1499999999999999</v>
      </c>
      <c r="H34" s="21">
        <v>0.88</v>
      </c>
      <c r="I34" s="19">
        <v>5</v>
      </c>
      <c r="J34" s="19">
        <v>5.7</v>
      </c>
      <c r="K34" s="1">
        <f>4320.036*(0.921)</f>
        <v>3978.7531560000002</v>
      </c>
      <c r="L34" s="1">
        <v>0</v>
      </c>
      <c r="M34" s="1">
        <f>4320.036*(0.921)</f>
        <v>3978.7531560000002</v>
      </c>
      <c r="N34" s="20">
        <v>139.35599999999999</v>
      </c>
      <c r="O34" s="1">
        <f>32233.696*(0.921)</f>
        <v>29687.234016000002</v>
      </c>
      <c r="P34" s="1">
        <v>3</v>
      </c>
      <c r="Q34" s="1">
        <f>32236.696*(0.921)</f>
        <v>29689.997016000001</v>
      </c>
      <c r="R34" s="1">
        <f>9215680.527*(0.921)</f>
        <v>8487641.7653670013</v>
      </c>
      <c r="S34" s="1">
        <f>12353*(0.921)</f>
        <v>11377.113000000001</v>
      </c>
      <c r="T34" s="1">
        <f>9228033.527*(0.921)</f>
        <v>8499018.8783670012</v>
      </c>
      <c r="U34" s="1">
        <v>744</v>
      </c>
      <c r="V34" s="1">
        <v>0</v>
      </c>
      <c r="W34" s="1">
        <v>744</v>
      </c>
      <c r="X34" s="1">
        <v>0</v>
      </c>
    </row>
    <row r="35" spans="1:24" x14ac:dyDescent="0.25">
      <c r="A35" s="1">
        <v>27</v>
      </c>
      <c r="B35" s="1">
        <f>(C35-15)+112</f>
        <v>265.3</v>
      </c>
      <c r="C35" s="19">
        <v>168.3</v>
      </c>
      <c r="D35" s="19">
        <v>1143.8</v>
      </c>
      <c r="E35" s="21">
        <v>0</v>
      </c>
      <c r="F35" s="21">
        <v>0.92</v>
      </c>
      <c r="G35" s="21">
        <v>1.1499999999999999</v>
      </c>
      <c r="H35" s="21">
        <v>0.88</v>
      </c>
      <c r="I35" s="19">
        <v>4</v>
      </c>
      <c r="J35" s="19">
        <v>5.7</v>
      </c>
      <c r="K35" s="1">
        <f>4158.035*(0.921)</f>
        <v>3829.5502350000002</v>
      </c>
      <c r="L35" s="1">
        <v>0</v>
      </c>
      <c r="M35" s="1">
        <f>4158.035*(0.921)</f>
        <v>3829.5502350000002</v>
      </c>
      <c r="N35" s="20">
        <v>134.13</v>
      </c>
      <c r="O35" s="1">
        <f>27310.027*(0.921)</f>
        <v>25152.534866999998</v>
      </c>
      <c r="P35" s="1">
        <v>28</v>
      </c>
      <c r="Q35" s="1">
        <f>27338.027*(0.921)</f>
        <v>25178.322866999999</v>
      </c>
      <c r="R35" s="1">
        <f>8258676.057*(0.921)</f>
        <v>7606240.6484970003</v>
      </c>
      <c r="S35" s="1">
        <f>10319*(0.921)</f>
        <v>9503.7990000000009</v>
      </c>
      <c r="T35" s="1">
        <f>8268995.057*(0.921)</f>
        <v>7615744.447497</v>
      </c>
      <c r="U35" s="1">
        <v>744</v>
      </c>
      <c r="V35" s="1">
        <v>0</v>
      </c>
      <c r="W35" s="1">
        <v>744</v>
      </c>
      <c r="X35" s="1">
        <v>0</v>
      </c>
    </row>
    <row r="36" spans="1:24" x14ac:dyDescent="0.25">
      <c r="A36" s="1">
        <v>28</v>
      </c>
      <c r="B36" s="1">
        <f>(C36-15)+112</f>
        <v>265.3</v>
      </c>
      <c r="C36" s="19">
        <v>168.3</v>
      </c>
      <c r="D36" s="19">
        <v>1139.8</v>
      </c>
      <c r="E36" s="21">
        <v>1.7</v>
      </c>
      <c r="F36" s="21">
        <v>0.92</v>
      </c>
      <c r="G36" s="21">
        <v>1.1499999999999999</v>
      </c>
      <c r="H36" s="21">
        <v>0.88</v>
      </c>
      <c r="I36" s="19">
        <v>6</v>
      </c>
      <c r="J36" s="19">
        <v>5.7</v>
      </c>
      <c r="K36" s="1">
        <f>4158.035*(0.921)</f>
        <v>3829.5502350000002</v>
      </c>
      <c r="L36" s="1">
        <v>0</v>
      </c>
      <c r="M36" s="1">
        <f>4158.035*(0.921)</f>
        <v>3829.5502350000002</v>
      </c>
      <c r="N36" s="20">
        <v>134.13</v>
      </c>
      <c r="O36" s="1">
        <f>25407.281*(0.921)</f>
        <v>23400.105801000002</v>
      </c>
      <c r="P36" s="1">
        <v>22</v>
      </c>
      <c r="Q36" s="1">
        <f>25429.281*(0.921)</f>
        <v>23420.367801</v>
      </c>
      <c r="R36" s="1">
        <f>8010642.138*(0.921)</f>
        <v>7377801.4090980003</v>
      </c>
      <c r="S36" s="1">
        <f>12924*(0.921)</f>
        <v>11903.004000000001</v>
      </c>
      <c r="T36" s="1">
        <f>8023566.138*(0.921)</f>
        <v>7389704.4130980009</v>
      </c>
      <c r="U36" s="1">
        <v>744</v>
      </c>
      <c r="V36" s="1">
        <v>0</v>
      </c>
      <c r="W36" s="1">
        <v>744</v>
      </c>
      <c r="X36" s="1">
        <v>0</v>
      </c>
    </row>
    <row r="37" spans="1:24" x14ac:dyDescent="0.25">
      <c r="A37" s="1">
        <v>29</v>
      </c>
      <c r="B37" s="1">
        <f>(C37-15)+112</f>
        <v>265</v>
      </c>
      <c r="C37" s="19">
        <v>168</v>
      </c>
      <c r="D37" s="19">
        <v>1092.79</v>
      </c>
      <c r="E37" s="21">
        <v>0</v>
      </c>
      <c r="F37" s="21">
        <v>0.92</v>
      </c>
      <c r="G37" s="21">
        <v>0</v>
      </c>
      <c r="H37" s="21">
        <v>0.88</v>
      </c>
      <c r="I37" s="19">
        <v>4.5</v>
      </c>
      <c r="J37" s="19">
        <v>5.7</v>
      </c>
      <c r="K37" s="1">
        <f>5130.043*(0.921)</f>
        <v>4724.7696029999997</v>
      </c>
      <c r="L37" s="1">
        <v>0</v>
      </c>
      <c r="M37" s="1">
        <f>5130.043*(0.921)</f>
        <v>4724.7696029999997</v>
      </c>
      <c r="N37" s="20">
        <v>165.48500000000001</v>
      </c>
      <c r="O37" s="1">
        <f>34051.228*(0.921)</f>
        <v>31361.180988000004</v>
      </c>
      <c r="P37" s="1">
        <v>28</v>
      </c>
      <c r="Q37" s="1">
        <f>34079.228*(0.921)</f>
        <v>31386.968988000004</v>
      </c>
      <c r="R37" s="1">
        <f>7761945.486*(0.921)</f>
        <v>7148751.7926059999</v>
      </c>
      <c r="S37" s="1">
        <f>12435*(0.921)</f>
        <v>11452.635</v>
      </c>
      <c r="T37" s="1">
        <f>7774380.486*(0.921)</f>
        <v>7160204.4276059996</v>
      </c>
      <c r="U37" s="1">
        <v>744</v>
      </c>
      <c r="V37" s="1">
        <v>0</v>
      </c>
      <c r="W37" s="1">
        <v>744</v>
      </c>
      <c r="X37" s="1">
        <v>0</v>
      </c>
    </row>
    <row r="38" spans="1:24" x14ac:dyDescent="0.25">
      <c r="A38" s="1">
        <v>30</v>
      </c>
      <c r="B38" s="1">
        <f>(C38-15)+112</f>
        <v>198.6</v>
      </c>
      <c r="C38" s="19">
        <v>101.6</v>
      </c>
      <c r="D38" s="19">
        <v>1140.4000000000001</v>
      </c>
      <c r="E38" s="21">
        <v>0</v>
      </c>
      <c r="F38" s="21">
        <v>0.92</v>
      </c>
      <c r="G38" s="21">
        <v>0</v>
      </c>
      <c r="H38" s="21">
        <v>0.87</v>
      </c>
      <c r="I38" s="19">
        <v>6</v>
      </c>
      <c r="J38" s="19">
        <v>0.5</v>
      </c>
      <c r="K38" s="1">
        <f>2160.018*(0.921)</f>
        <v>1989.3765780000001</v>
      </c>
      <c r="L38" s="1">
        <v>0</v>
      </c>
      <c r="M38" s="1">
        <f>2160.018*(0.921)</f>
        <v>1989.3765780000001</v>
      </c>
      <c r="N38" s="20">
        <v>69.677999999999997</v>
      </c>
      <c r="O38" s="1">
        <f>15548.002*(0.921)</f>
        <v>14319.709842</v>
      </c>
      <c r="P38" s="1">
        <v>8</v>
      </c>
      <c r="Q38" s="1">
        <f>15556.002*(0.921)</f>
        <v>14327.077842000001</v>
      </c>
      <c r="R38" s="1">
        <f>4929883.427*(0.921)</f>
        <v>4540422.6362669999</v>
      </c>
      <c r="S38" s="1">
        <f>13545*(0.921)</f>
        <v>12474.945</v>
      </c>
      <c r="T38" s="1">
        <f>4943428.427*(0.921)</f>
        <v>4552897.5812670002</v>
      </c>
      <c r="U38" s="1">
        <v>744</v>
      </c>
      <c r="V38" s="1">
        <v>0</v>
      </c>
      <c r="W38" s="1">
        <v>744</v>
      </c>
      <c r="X38" s="1">
        <v>0</v>
      </c>
    </row>
    <row r="39" spans="1:24" x14ac:dyDescent="0.25">
      <c r="A39" s="1">
        <v>31</v>
      </c>
      <c r="B39" s="1">
        <f>(C39-15)+112</f>
        <v>265.3</v>
      </c>
      <c r="C39" s="19">
        <v>168.3</v>
      </c>
      <c r="D39" s="19">
        <v>1168.4000000000001</v>
      </c>
      <c r="E39" s="21">
        <v>0</v>
      </c>
      <c r="F39" s="21">
        <v>0.92</v>
      </c>
      <c r="G39" s="21">
        <v>1.1499999999999999</v>
      </c>
      <c r="H39" s="21">
        <v>0.87</v>
      </c>
      <c r="I39" s="19">
        <v>4</v>
      </c>
      <c r="J39" s="19">
        <v>0.5</v>
      </c>
      <c r="K39" s="1">
        <f>3888.032*(0.921)</f>
        <v>3580.8774720000001</v>
      </c>
      <c r="L39" s="1">
        <v>0</v>
      </c>
      <c r="M39" s="1">
        <f>3888.032*(0.921)</f>
        <v>3580.8774720000001</v>
      </c>
      <c r="N39" s="20">
        <v>125.42</v>
      </c>
      <c r="O39" s="1">
        <f>26263.461*(0.921)</f>
        <v>24188.647581000001</v>
      </c>
      <c r="P39" s="1">
        <v>21</v>
      </c>
      <c r="Q39" s="1">
        <f>26284.461*(0.921)</f>
        <v>24207.988581000001</v>
      </c>
      <c r="R39" s="1">
        <f>8787965.779*(0.921)</f>
        <v>8093716.4824589994</v>
      </c>
      <c r="S39" s="1">
        <f>11923*(0.921)</f>
        <v>10981.083000000001</v>
      </c>
      <c r="T39" s="1">
        <f>8799888.779*(0.921)</f>
        <v>8104697.5654589999</v>
      </c>
      <c r="U39" s="1">
        <v>744</v>
      </c>
      <c r="V39" s="1">
        <v>0</v>
      </c>
      <c r="W39" s="1">
        <v>744</v>
      </c>
      <c r="X39" s="1">
        <v>0</v>
      </c>
    </row>
    <row r="40" spans="1:24" x14ac:dyDescent="0.25">
      <c r="A40" s="1">
        <v>32</v>
      </c>
      <c r="B40" s="1">
        <f>(C40-15)+112</f>
        <v>265.3</v>
      </c>
      <c r="C40" s="19">
        <v>168.3</v>
      </c>
      <c r="D40" s="19">
        <v>1115.2</v>
      </c>
      <c r="E40" s="21">
        <v>0</v>
      </c>
      <c r="F40" s="21">
        <v>0.92</v>
      </c>
      <c r="G40" s="21">
        <v>1.1499999999999999</v>
      </c>
      <c r="H40" s="21">
        <v>0.87</v>
      </c>
      <c r="I40" s="19">
        <v>5</v>
      </c>
      <c r="J40" s="19">
        <v>0.5</v>
      </c>
      <c r="K40" s="1">
        <f>4273.293*(0.921)</f>
        <v>3935.7028529999998</v>
      </c>
      <c r="L40" s="1">
        <v>0</v>
      </c>
      <c r="M40" s="1">
        <f>4273.293*(0.921)</f>
        <v>3935.7028529999998</v>
      </c>
      <c r="N40" s="20">
        <v>142.84</v>
      </c>
      <c r="O40" s="1">
        <f>31551.518*(0.921)</f>
        <v>29058.948078000001</v>
      </c>
      <c r="P40" s="1">
        <v>23</v>
      </c>
      <c r="Q40" s="1">
        <f>31574.518*(0.921)</f>
        <v>29080.131078000002</v>
      </c>
      <c r="R40" s="1">
        <f>9571719.213*(0.921)</f>
        <v>8815553.3951730002</v>
      </c>
      <c r="S40" s="1">
        <f>15486*(0.921)</f>
        <v>14262.606</v>
      </c>
      <c r="T40" s="1">
        <f>9587205.213*(0.921)</f>
        <v>8829816.0011730008</v>
      </c>
      <c r="U40" s="1">
        <v>718</v>
      </c>
      <c r="V40" s="1">
        <v>26</v>
      </c>
      <c r="W40" s="1">
        <v>744</v>
      </c>
      <c r="X40" s="1">
        <v>317</v>
      </c>
    </row>
    <row r="41" spans="1:24" x14ac:dyDescent="0.25">
      <c r="A41" s="1">
        <v>33</v>
      </c>
      <c r="B41" s="1">
        <f>(C41-15)+112</f>
        <v>198.6</v>
      </c>
      <c r="C41" s="19">
        <v>101.6</v>
      </c>
      <c r="D41" s="19">
        <v>1144.9000000000001</v>
      </c>
      <c r="E41" s="21">
        <v>0</v>
      </c>
      <c r="F41" s="21">
        <v>0.92</v>
      </c>
      <c r="G41" s="21">
        <v>1.1499999999999999</v>
      </c>
      <c r="H41" s="21">
        <v>0.87</v>
      </c>
      <c r="I41" s="19">
        <v>1</v>
      </c>
      <c r="J41" s="19">
        <v>0.5</v>
      </c>
      <c r="K41" s="1">
        <f>1431.012*(0.921)</f>
        <v>1317.9620520000001</v>
      </c>
      <c r="L41" s="1">
        <v>0</v>
      </c>
      <c r="M41" s="1">
        <f>1431.012*(0.921)</f>
        <v>1317.9620520000001</v>
      </c>
      <c r="N41" s="20">
        <v>46.161999999999999</v>
      </c>
      <c r="O41" s="1">
        <f>10257.377*(0.921)</f>
        <v>9447.0442170000006</v>
      </c>
      <c r="P41" s="1">
        <v>0</v>
      </c>
      <c r="Q41" s="1">
        <f>10257.377*(0.921)</f>
        <v>9447.0442170000006</v>
      </c>
      <c r="R41" s="1">
        <f>6294661.277*(0.921)</f>
        <v>5797383.0361170005</v>
      </c>
      <c r="S41" s="1">
        <f>20910*(0.921)</f>
        <v>19258.11</v>
      </c>
      <c r="T41" s="1">
        <f>6315571.277*(0.921)</f>
        <v>5816641.1461169999</v>
      </c>
      <c r="U41" s="1">
        <v>744</v>
      </c>
      <c r="V41" s="1">
        <v>0</v>
      </c>
      <c r="W41" s="1">
        <v>744</v>
      </c>
      <c r="X41" s="1">
        <v>0</v>
      </c>
    </row>
    <row r="42" spans="1:24" x14ac:dyDescent="0.25">
      <c r="A42" s="1">
        <v>34</v>
      </c>
      <c r="B42" s="1">
        <f>(C42-15)+112</f>
        <v>265.3</v>
      </c>
      <c r="C42" s="19">
        <v>168.3</v>
      </c>
      <c r="D42" s="19">
        <v>1172.77</v>
      </c>
      <c r="E42" s="21">
        <v>0</v>
      </c>
      <c r="F42" s="21">
        <v>0.92</v>
      </c>
      <c r="G42" s="21">
        <v>1.2</v>
      </c>
      <c r="H42" s="21">
        <v>0.85</v>
      </c>
      <c r="I42" s="19">
        <v>2.5</v>
      </c>
      <c r="J42" s="19">
        <v>-2.5</v>
      </c>
      <c r="K42" s="1">
        <f>1809.015*(0.921)</f>
        <v>1666.1028150000002</v>
      </c>
      <c r="L42" s="1">
        <v>0</v>
      </c>
      <c r="M42" s="1">
        <f>1809.015*(0.921)</f>
        <v>1666.1028150000002</v>
      </c>
      <c r="N42" s="20">
        <v>58.354999999999997</v>
      </c>
      <c r="O42" s="1">
        <f>9122.315*(0.921)</f>
        <v>8401.6521150000008</v>
      </c>
      <c r="P42" s="1">
        <v>11</v>
      </c>
      <c r="Q42" s="1">
        <f>9133.315*(0.921)</f>
        <v>8411.7831150000002</v>
      </c>
      <c r="R42" s="1">
        <f>5003009.179*(0.921)</f>
        <v>4607771.4538589995</v>
      </c>
      <c r="S42" s="1">
        <f>4307*(0.921)</f>
        <v>3966.7470000000003</v>
      </c>
      <c r="T42" s="1">
        <f>5007316.179*(0.921)</f>
        <v>4611738.200859</v>
      </c>
      <c r="U42" s="1">
        <v>744</v>
      </c>
      <c r="V42" s="1">
        <v>0</v>
      </c>
      <c r="W42" s="1">
        <v>744</v>
      </c>
      <c r="X42" s="1">
        <v>0</v>
      </c>
    </row>
    <row r="43" spans="1:24" x14ac:dyDescent="0.25">
      <c r="A43" s="1">
        <v>35</v>
      </c>
      <c r="B43" s="1">
        <f>(C43-15)+112</f>
        <v>198.6</v>
      </c>
      <c r="C43" s="19">
        <v>101.6</v>
      </c>
      <c r="D43" s="19">
        <v>1137.68</v>
      </c>
      <c r="E43" s="21">
        <v>0</v>
      </c>
      <c r="F43" s="21">
        <v>0.92</v>
      </c>
      <c r="G43" s="21">
        <v>1.2</v>
      </c>
      <c r="H43" s="21">
        <v>0.85</v>
      </c>
      <c r="I43" s="19">
        <v>4.5</v>
      </c>
      <c r="J43" s="19">
        <v>-2.5</v>
      </c>
      <c r="K43" s="1">
        <f>1809.015*(0.921)</f>
        <v>1666.1028150000002</v>
      </c>
      <c r="L43" s="1">
        <v>0</v>
      </c>
      <c r="M43" s="1">
        <f>1809.015*(0.921)</f>
        <v>1666.1028150000002</v>
      </c>
      <c r="N43" s="20">
        <v>58.354999999999997</v>
      </c>
      <c r="O43" s="1">
        <f>4360.691*(0.921)</f>
        <v>4016.1964109999999</v>
      </c>
      <c r="P43" s="1">
        <v>334</v>
      </c>
      <c r="Q43" s="1">
        <f>4694.691*(0.921)</f>
        <v>4323.8104110000004</v>
      </c>
      <c r="R43" s="1">
        <f>3978302.642*(0.921)</f>
        <v>3664016.7332820003</v>
      </c>
      <c r="S43" s="1">
        <f>7111*(0.921)</f>
        <v>6549.2310000000007</v>
      </c>
      <c r="T43" s="1">
        <f>3985413.642*(0.921)</f>
        <v>3670565.964282</v>
      </c>
      <c r="U43" s="1">
        <v>744</v>
      </c>
      <c r="V43" s="1">
        <v>0</v>
      </c>
      <c r="W43" s="1">
        <v>744</v>
      </c>
      <c r="X43" s="1">
        <v>0</v>
      </c>
    </row>
    <row r="44" spans="1:24" x14ac:dyDescent="0.25">
      <c r="A44" s="1">
        <v>36</v>
      </c>
      <c r="B44" s="1">
        <f>(C44-15)+112</f>
        <v>265.3</v>
      </c>
      <c r="C44" s="19">
        <v>168.3</v>
      </c>
      <c r="D44" s="19">
        <v>1108.26</v>
      </c>
      <c r="E44" s="21">
        <v>0</v>
      </c>
      <c r="F44" s="21">
        <v>0.92</v>
      </c>
      <c r="G44" s="21">
        <v>1.2</v>
      </c>
      <c r="H44" s="21">
        <v>0.85</v>
      </c>
      <c r="I44" s="19">
        <v>4</v>
      </c>
      <c r="J44" s="19">
        <v>-2.5</v>
      </c>
      <c r="K44" s="1">
        <f>3186.027*(0.921)</f>
        <v>2934.3308670000001</v>
      </c>
      <c r="L44" s="1">
        <v>0</v>
      </c>
      <c r="M44" s="1">
        <f>3186.027*(0.921)</f>
        <v>2934.3308670000001</v>
      </c>
      <c r="N44" s="20">
        <v>102.77500000000001</v>
      </c>
      <c r="O44" s="1">
        <f>13791.956*(0.921)</f>
        <v>12702.391476000001</v>
      </c>
      <c r="P44" s="1">
        <v>23</v>
      </c>
      <c r="Q44" s="1">
        <f>13814.956*(0.921)</f>
        <v>12723.574476</v>
      </c>
      <c r="R44" s="1">
        <f>5140013.509*(0.921)</f>
        <v>4733952.4417890003</v>
      </c>
      <c r="S44" s="1">
        <f>5248*(0.921)</f>
        <v>4833.4080000000004</v>
      </c>
      <c r="T44" s="1">
        <f>5145261.509*(0.921)</f>
        <v>4738785.8497890001</v>
      </c>
      <c r="U44" s="1">
        <v>744</v>
      </c>
      <c r="V44" s="1">
        <v>0</v>
      </c>
      <c r="W44" s="1">
        <v>744</v>
      </c>
      <c r="X44" s="1">
        <v>0</v>
      </c>
    </row>
    <row r="45" spans="1:24" x14ac:dyDescent="0.25">
      <c r="A45" s="1">
        <v>37</v>
      </c>
      <c r="B45" s="1">
        <f>(C45-15)+112</f>
        <v>198.6</v>
      </c>
      <c r="C45" s="19">
        <v>101.6</v>
      </c>
      <c r="D45" s="19">
        <v>1112</v>
      </c>
      <c r="E45" s="21">
        <v>0</v>
      </c>
      <c r="F45" s="21">
        <v>0.92</v>
      </c>
      <c r="G45" s="21">
        <v>1.2</v>
      </c>
      <c r="H45" s="21">
        <v>0.85</v>
      </c>
      <c r="I45" s="19">
        <v>1.5</v>
      </c>
      <c r="J45" s="19">
        <v>-2.5</v>
      </c>
      <c r="K45" s="1">
        <f>1188.01*(0.921)</f>
        <v>1094.1572100000001</v>
      </c>
      <c r="L45" s="1">
        <v>0</v>
      </c>
      <c r="M45" s="1">
        <f>1188.01*(0.921)</f>
        <v>1094.1572100000001</v>
      </c>
      <c r="N45" s="20">
        <v>38.323</v>
      </c>
      <c r="O45" s="1">
        <f>5626.338*(0.921)</f>
        <v>5181.8572979999999</v>
      </c>
      <c r="P45" s="1">
        <v>3</v>
      </c>
      <c r="Q45" s="1">
        <f>5629.338*(0.921)</f>
        <v>5184.6202979999998</v>
      </c>
      <c r="R45" s="1">
        <f>2913470.652*(0.921)</f>
        <v>2683306.4704919998</v>
      </c>
      <c r="S45" s="1">
        <f>4784*(0.921)</f>
        <v>4406.0640000000003</v>
      </c>
      <c r="T45" s="1">
        <f>2918254.652*(0.921)</f>
        <v>2687712.534492</v>
      </c>
      <c r="U45" s="1">
        <v>744</v>
      </c>
      <c r="V45" s="1">
        <v>0</v>
      </c>
      <c r="W45" s="1">
        <v>744</v>
      </c>
      <c r="X45" s="1">
        <v>0</v>
      </c>
    </row>
    <row r="46" spans="1:24" x14ac:dyDescent="0.25">
      <c r="A46" s="1">
        <v>38</v>
      </c>
      <c r="B46" s="1">
        <f>(C46-15)+112</f>
        <v>265.3</v>
      </c>
      <c r="C46" s="19">
        <v>168.3</v>
      </c>
      <c r="D46" s="19">
        <v>1130</v>
      </c>
      <c r="E46" s="21">
        <v>0</v>
      </c>
      <c r="F46" s="21">
        <v>0.95</v>
      </c>
      <c r="G46" s="21">
        <v>1.25</v>
      </c>
      <c r="H46" s="21">
        <v>0.89</v>
      </c>
      <c r="I46" s="19">
        <v>9</v>
      </c>
      <c r="J46" s="19">
        <v>2.7</v>
      </c>
      <c r="K46" s="1">
        <f>5697.047*(0.921)</f>
        <v>5246.9802869999994</v>
      </c>
      <c r="L46" s="1">
        <v>0</v>
      </c>
      <c r="M46" s="1">
        <f>5697.047*(0.921)</f>
        <v>5246.9802869999994</v>
      </c>
      <c r="N46" s="20">
        <v>183.77600000000001</v>
      </c>
      <c r="O46" s="1">
        <f>37319.28*(0.921)</f>
        <v>34371.056880000004</v>
      </c>
      <c r="P46" s="1">
        <v>3</v>
      </c>
      <c r="Q46" s="1">
        <f>37322.28*(0.921)</f>
        <v>34373.819880000003</v>
      </c>
      <c r="R46" s="1">
        <f>2936911.34*(0.921)</f>
        <v>2704895.3441400002</v>
      </c>
      <c r="S46" s="1">
        <f>14225*(0.921)</f>
        <v>13101.225</v>
      </c>
      <c r="T46" s="1">
        <f>2951136.34*(0.921)</f>
        <v>2717996.5691399998</v>
      </c>
      <c r="U46" s="1">
        <v>744</v>
      </c>
      <c r="V46" s="1">
        <v>0</v>
      </c>
      <c r="W46" s="1">
        <v>744</v>
      </c>
      <c r="X46" s="1">
        <v>0</v>
      </c>
    </row>
    <row r="47" spans="1:24" x14ac:dyDescent="0.25">
      <c r="A47" s="1">
        <v>39</v>
      </c>
      <c r="B47" s="1">
        <f>(C47-15)+112</f>
        <v>265.3</v>
      </c>
      <c r="C47" s="19">
        <v>168.3</v>
      </c>
      <c r="D47" s="19">
        <v>1151.07</v>
      </c>
      <c r="E47" s="21">
        <v>0</v>
      </c>
      <c r="F47" s="21">
        <v>0.95</v>
      </c>
      <c r="G47" s="21">
        <v>1.25</v>
      </c>
      <c r="H47" s="21">
        <v>0.89</v>
      </c>
      <c r="I47" s="19">
        <v>10</v>
      </c>
      <c r="J47" s="19">
        <v>2.7</v>
      </c>
      <c r="K47" s="1">
        <f>6129.051*(0.921)</f>
        <v>5644.8559710000009</v>
      </c>
      <c r="L47" s="1">
        <v>0</v>
      </c>
      <c r="M47" s="1">
        <f>6129.051*(0.921)</f>
        <v>5644.8559710000009</v>
      </c>
      <c r="N47" s="20">
        <v>197.71100000000001</v>
      </c>
      <c r="O47" s="1">
        <f>37785.689*(0.921)</f>
        <v>34800.619569000002</v>
      </c>
      <c r="P47" s="1">
        <v>3</v>
      </c>
      <c r="Q47" s="1">
        <f>37788.689*(0.921)</f>
        <v>34803.382569000001</v>
      </c>
      <c r="R47" s="1">
        <f>5046161.708*(0.921)</f>
        <v>4647514.9330679998</v>
      </c>
      <c r="S47" s="1">
        <f>7289*(0.921)</f>
        <v>6713.1689999999999</v>
      </c>
      <c r="T47" s="1">
        <f>5053450.708*(0.921)</f>
        <v>4654228.1020679995</v>
      </c>
      <c r="U47" s="1">
        <v>744</v>
      </c>
      <c r="V47" s="1">
        <v>0</v>
      </c>
      <c r="W47" s="1">
        <v>744</v>
      </c>
      <c r="X47" s="1">
        <v>0</v>
      </c>
    </row>
    <row r="48" spans="1:24" x14ac:dyDescent="0.25">
      <c r="A48" s="1">
        <v>40</v>
      </c>
      <c r="B48" s="1">
        <f>(C48-15)+112</f>
        <v>265.3</v>
      </c>
      <c r="C48" s="19">
        <v>168.3</v>
      </c>
      <c r="D48" s="19">
        <v>1147.0999999999999</v>
      </c>
      <c r="E48" s="21">
        <v>0</v>
      </c>
      <c r="F48" s="21">
        <v>0.95</v>
      </c>
      <c r="G48" s="21">
        <v>1.25</v>
      </c>
      <c r="H48" s="21">
        <v>0.89</v>
      </c>
      <c r="I48" s="19">
        <v>13</v>
      </c>
      <c r="J48" s="19">
        <v>2.7</v>
      </c>
      <c r="K48" s="1">
        <f>5130.043*(0.921)</f>
        <v>4724.7696029999997</v>
      </c>
      <c r="L48" s="1">
        <v>0</v>
      </c>
      <c r="M48" s="1">
        <f>5130.043*(0.921)</f>
        <v>4724.7696029999997</v>
      </c>
      <c r="N48" s="20">
        <v>165.48500000000001</v>
      </c>
      <c r="O48" s="1">
        <f>27803.779*(0.921)</f>
        <v>25607.280459000001</v>
      </c>
      <c r="P48" s="1">
        <v>31</v>
      </c>
      <c r="Q48" s="1">
        <f>27834.779*(0.921)</f>
        <v>25635.831459000001</v>
      </c>
      <c r="R48" s="1">
        <f>6347926.411*(0.921)</f>
        <v>5846440.2245310005</v>
      </c>
      <c r="S48" s="1">
        <f>6656*(0.921)</f>
        <v>6130.1760000000004</v>
      </c>
      <c r="T48" s="1">
        <f>6354582.411*(0.921)</f>
        <v>5852570.4005310005</v>
      </c>
      <c r="U48" s="1">
        <v>744</v>
      </c>
      <c r="V48" s="1">
        <v>0</v>
      </c>
      <c r="W48" s="1">
        <v>744</v>
      </c>
      <c r="X48" s="1">
        <v>0</v>
      </c>
    </row>
    <row r="49" spans="1:24" x14ac:dyDescent="0.25">
      <c r="A49" s="1">
        <v>41</v>
      </c>
      <c r="B49" s="1">
        <f>(C49-15)+112</f>
        <v>186</v>
      </c>
      <c r="C49" s="19">
        <v>89</v>
      </c>
      <c r="D49" s="19">
        <v>1158.23</v>
      </c>
      <c r="E49" s="21">
        <v>0</v>
      </c>
      <c r="F49" s="21">
        <v>0.9</v>
      </c>
      <c r="G49" s="21">
        <v>1.1499999999999999</v>
      </c>
      <c r="H49" s="21">
        <v>0.84</v>
      </c>
      <c r="I49" s="19">
        <v>1.5</v>
      </c>
      <c r="J49" s="19">
        <v>-3.9</v>
      </c>
      <c r="K49" s="1">
        <f>1377.011*(0.921)</f>
        <v>1268.2271310000001</v>
      </c>
      <c r="L49" s="1">
        <v>0</v>
      </c>
      <c r="M49" s="1">
        <f>1377.011*(0.921)</f>
        <v>1268.2271310000001</v>
      </c>
      <c r="N49" s="20">
        <v>44.42</v>
      </c>
      <c r="O49" s="1">
        <f>9601.473*(0.921)</f>
        <v>8842.9566329999998</v>
      </c>
      <c r="P49" s="1">
        <v>10</v>
      </c>
      <c r="Q49" s="1">
        <f>9611.473*(0.921)</f>
        <v>8852.1666330000007</v>
      </c>
      <c r="R49" s="1">
        <f>3411921.313*(0.921)</f>
        <v>3142379.5292730001</v>
      </c>
      <c r="S49" s="1">
        <f>4964*(0.921)</f>
        <v>4571.8440000000001</v>
      </c>
      <c r="T49" s="1">
        <f>3416885.313*(0.921)</f>
        <v>3146951.3732730001</v>
      </c>
      <c r="U49" s="1">
        <v>744</v>
      </c>
      <c r="V49" s="1">
        <v>0</v>
      </c>
      <c r="W49" s="1">
        <v>744</v>
      </c>
      <c r="X49" s="1">
        <v>0</v>
      </c>
    </row>
    <row r="50" spans="1:24" x14ac:dyDescent="0.25">
      <c r="A50" s="1">
        <v>42</v>
      </c>
      <c r="B50" s="1">
        <f>(C50-15)+112</f>
        <v>211</v>
      </c>
      <c r="C50" s="19">
        <v>114</v>
      </c>
      <c r="D50" s="19">
        <v>1164.6600000000001</v>
      </c>
      <c r="E50" s="21">
        <v>0</v>
      </c>
      <c r="F50" s="21">
        <v>0.9</v>
      </c>
      <c r="G50" s="21">
        <v>1.1499999999999999</v>
      </c>
      <c r="H50" s="21">
        <v>0.84</v>
      </c>
      <c r="I50" s="19">
        <v>3.5</v>
      </c>
      <c r="J50" s="19">
        <v>-3.9</v>
      </c>
      <c r="K50" s="1">
        <f>1269.01*(0.921)</f>
        <v>1168.75821</v>
      </c>
      <c r="L50" s="1">
        <v>0</v>
      </c>
      <c r="M50" s="1">
        <f>1269.01*(0.921)</f>
        <v>1168.75821</v>
      </c>
      <c r="N50" s="20">
        <v>40.936</v>
      </c>
      <c r="O50" s="1">
        <f>9291.654*(0.921)</f>
        <v>8557.6133340000015</v>
      </c>
      <c r="P50" s="1">
        <v>8</v>
      </c>
      <c r="Q50" s="1">
        <f>9299.654*(0.921)</f>
        <v>8564.9813340000001</v>
      </c>
      <c r="R50" s="1">
        <f>3974868.489*(0.921)</f>
        <v>3660853.8783690003</v>
      </c>
      <c r="S50" s="1">
        <f>5330*(0.921)</f>
        <v>4908.93</v>
      </c>
      <c r="T50" s="1">
        <f>3980198.489*(0.921)</f>
        <v>3665762.8083690004</v>
      </c>
      <c r="U50" s="1">
        <v>744</v>
      </c>
      <c r="V50" s="1">
        <v>0</v>
      </c>
      <c r="W50" s="1">
        <v>744</v>
      </c>
      <c r="X50" s="1">
        <v>0</v>
      </c>
    </row>
    <row r="51" spans="1:24" x14ac:dyDescent="0.25">
      <c r="A51" s="1">
        <v>43</v>
      </c>
      <c r="B51" s="1">
        <f>(C51-15)+112</f>
        <v>265.3</v>
      </c>
      <c r="C51" s="19">
        <v>168.3</v>
      </c>
      <c r="D51" s="19">
        <v>1132.3</v>
      </c>
      <c r="E51" s="21">
        <v>0</v>
      </c>
      <c r="F51" s="21">
        <v>0.9</v>
      </c>
      <c r="G51" s="21">
        <v>1.1499999999999999</v>
      </c>
      <c r="H51" s="21">
        <v>0.84</v>
      </c>
      <c r="I51" s="19">
        <v>5</v>
      </c>
      <c r="J51" s="19">
        <v>-3.9</v>
      </c>
      <c r="K51" s="1">
        <f>4293.036*(0.921)</f>
        <v>3953.886156</v>
      </c>
      <c r="L51" s="1">
        <v>0</v>
      </c>
      <c r="M51" s="1">
        <f>4293.036*(0.921)</f>
        <v>3953.886156</v>
      </c>
      <c r="N51" s="20">
        <v>138.48500000000001</v>
      </c>
      <c r="O51" s="1">
        <f>29081.218*(0.921)</f>
        <v>26783.801778000001</v>
      </c>
      <c r="P51" s="1">
        <v>23</v>
      </c>
      <c r="Q51" s="1">
        <f>29104.218*(0.921)</f>
        <v>26804.984778000002</v>
      </c>
      <c r="R51" s="1">
        <f>3923600.486*(0.921)</f>
        <v>3613636.0476060002</v>
      </c>
      <c r="S51" s="1">
        <f>6625*(0.921)</f>
        <v>6101.625</v>
      </c>
      <c r="T51" s="1">
        <f>3930225.486*(0.921)</f>
        <v>3619737.6726060002</v>
      </c>
      <c r="U51" s="1">
        <v>744</v>
      </c>
      <c r="V51" s="1">
        <v>0</v>
      </c>
      <c r="W51" s="1">
        <v>744</v>
      </c>
      <c r="X51" s="1">
        <v>0</v>
      </c>
    </row>
    <row r="52" spans="1:24" x14ac:dyDescent="0.25">
      <c r="A52" s="1">
        <v>44</v>
      </c>
      <c r="B52" s="1">
        <f>(C52-15)+112</f>
        <v>265</v>
      </c>
      <c r="C52" s="19">
        <v>168</v>
      </c>
      <c r="D52" s="19">
        <v>1167.19</v>
      </c>
      <c r="E52" s="21">
        <v>0</v>
      </c>
      <c r="F52" s="21">
        <v>0.9</v>
      </c>
      <c r="G52" s="21">
        <v>1.1499999999999999</v>
      </c>
      <c r="H52" s="21">
        <v>0.84</v>
      </c>
      <c r="I52" s="19">
        <v>7.5</v>
      </c>
      <c r="J52" s="19">
        <v>-3.9</v>
      </c>
      <c r="K52" s="1">
        <f>2322.019*(0.921)</f>
        <v>2138.5794989999999</v>
      </c>
      <c r="L52" s="1">
        <v>0</v>
      </c>
      <c r="M52" s="1">
        <f>2322.019*(0.921)</f>
        <v>2138.5794989999999</v>
      </c>
      <c r="N52" s="20">
        <v>74.903999999999996</v>
      </c>
      <c r="O52" s="1">
        <f>17621.662*(0.921)</f>
        <v>16229.550702</v>
      </c>
      <c r="P52" s="1">
        <v>0</v>
      </c>
      <c r="Q52" s="1">
        <f>17621.662*(0.921)</f>
        <v>16229.550702</v>
      </c>
      <c r="R52" s="1">
        <f>2512406.414*(0.921)</f>
        <v>2313926.3072939999</v>
      </c>
      <c r="S52" s="1">
        <f>22947*(0.921)</f>
        <v>21134.187000000002</v>
      </c>
      <c r="T52" s="1">
        <f>2535353.414*(0.921)</f>
        <v>2335060.4942939999</v>
      </c>
      <c r="U52" s="1">
        <v>744</v>
      </c>
      <c r="V52" s="1">
        <v>0</v>
      </c>
      <c r="W52" s="1">
        <v>744</v>
      </c>
      <c r="X52" s="1">
        <v>0</v>
      </c>
    </row>
    <row r="53" spans="1:24" x14ac:dyDescent="0.25">
      <c r="A53" s="1">
        <v>45</v>
      </c>
      <c r="B53" s="1">
        <f>(C53-15)+112</f>
        <v>265</v>
      </c>
      <c r="C53" s="19">
        <v>168</v>
      </c>
      <c r="D53" s="19">
        <v>1127.0999999999999</v>
      </c>
      <c r="E53" s="21">
        <v>0</v>
      </c>
      <c r="F53" s="21">
        <v>0.85</v>
      </c>
      <c r="G53" s="21">
        <v>1.1499999999999999</v>
      </c>
      <c r="H53" s="21">
        <v>0.74</v>
      </c>
      <c r="I53" s="19">
        <v>1</v>
      </c>
      <c r="J53" s="19">
        <v>-9.5</v>
      </c>
      <c r="K53" s="1">
        <f>1782.014*(0.921)</f>
        <v>1641.2348939999999</v>
      </c>
      <c r="L53" s="1">
        <v>0</v>
      </c>
      <c r="M53" s="1">
        <f>1782.014*(0.921)</f>
        <v>1641.2348939999999</v>
      </c>
      <c r="N53" s="20">
        <v>57.484000000000002</v>
      </c>
      <c r="O53" s="1">
        <f>10058.212*(0.921)</f>
        <v>9263.6132519999992</v>
      </c>
      <c r="P53" s="1">
        <v>10</v>
      </c>
      <c r="Q53" s="1">
        <f>10068.212*(0.921)</f>
        <v>9272.8232520000001</v>
      </c>
      <c r="R53" s="1">
        <f>3259671.952*(0.921)</f>
        <v>3002157.8677920001</v>
      </c>
      <c r="S53" s="1">
        <f>6227*(0.921)</f>
        <v>5735.067</v>
      </c>
      <c r="T53" s="1">
        <f>3265898.952*(0.921)</f>
        <v>3007892.9347920003</v>
      </c>
      <c r="U53" s="1">
        <v>744</v>
      </c>
      <c r="V53" s="1">
        <v>0</v>
      </c>
      <c r="W53" s="1">
        <v>744</v>
      </c>
      <c r="X53" s="1">
        <v>0</v>
      </c>
    </row>
    <row r="54" spans="1:24" x14ac:dyDescent="0.25">
      <c r="A54" s="1">
        <v>46</v>
      </c>
      <c r="B54" s="1">
        <f>(C54-15)+112</f>
        <v>211</v>
      </c>
      <c r="C54" s="19">
        <v>114</v>
      </c>
      <c r="D54" s="19">
        <v>1174.25</v>
      </c>
      <c r="E54" s="21">
        <v>0</v>
      </c>
      <c r="F54" s="21">
        <v>0.85</v>
      </c>
      <c r="G54" s="21">
        <v>1.1499999999999999</v>
      </c>
      <c r="H54" s="21">
        <v>0.74</v>
      </c>
      <c r="I54" s="19">
        <v>7.5</v>
      </c>
      <c r="J54" s="19">
        <v>-9.5</v>
      </c>
      <c r="K54" s="1">
        <f>3267.027*(0.921)</f>
        <v>3008.9318670000002</v>
      </c>
      <c r="L54" s="1">
        <v>0</v>
      </c>
      <c r="M54" s="1">
        <f>3267.027*(0.921)</f>
        <v>3008.9318670000002</v>
      </c>
      <c r="N54" s="20">
        <v>105.38800000000001</v>
      </c>
      <c r="O54" s="1">
        <f>22617.355*(0.921)</f>
        <v>20830.583955000002</v>
      </c>
      <c r="P54" s="1">
        <v>3</v>
      </c>
      <c r="Q54" s="1">
        <f>22620.355*(0.921)</f>
        <v>20833.346955000001</v>
      </c>
      <c r="R54" s="1">
        <f>3134681.096*(0.921)</f>
        <v>2887041.2894160002</v>
      </c>
      <c r="S54" s="1">
        <f>5139*(0.921)</f>
        <v>4733.0190000000002</v>
      </c>
      <c r="T54" s="1">
        <f>3139820.096*(0.921)</f>
        <v>2891774.3084160001</v>
      </c>
      <c r="U54" s="1">
        <v>744</v>
      </c>
      <c r="V54" s="1">
        <v>0</v>
      </c>
      <c r="W54" s="1">
        <v>744</v>
      </c>
      <c r="X54" s="1">
        <v>0</v>
      </c>
    </row>
    <row r="55" spans="1:24" x14ac:dyDescent="0.25">
      <c r="A55" s="1">
        <v>47</v>
      </c>
      <c r="B55" s="1">
        <f>(C55-15)+112</f>
        <v>199</v>
      </c>
      <c r="C55" s="19">
        <v>102</v>
      </c>
      <c r="D55" s="19">
        <v>1173.0999999999999</v>
      </c>
      <c r="E55" s="21">
        <v>0</v>
      </c>
      <c r="F55" s="21">
        <v>0.82</v>
      </c>
      <c r="G55" s="21">
        <v>1.1499999999999999</v>
      </c>
      <c r="H55" s="21">
        <v>0.73</v>
      </c>
      <c r="I55" s="19">
        <v>4</v>
      </c>
      <c r="J55" s="19">
        <v>-0.6</v>
      </c>
      <c r="K55" s="1">
        <f>2646.022*(0.921)</f>
        <v>2436.9862619999999</v>
      </c>
      <c r="L55" s="1">
        <v>0</v>
      </c>
      <c r="M55" s="1">
        <f>2646.022*(0.921)</f>
        <v>2436.9862619999999</v>
      </c>
      <c r="N55" s="20">
        <v>85.355999999999995</v>
      </c>
      <c r="O55" s="1">
        <f>17112.209*(0.921)</f>
        <v>15760.344488999999</v>
      </c>
      <c r="P55" s="1">
        <v>13</v>
      </c>
      <c r="Q55" s="1">
        <f>17125.209*(0.921)</f>
        <v>15772.317488999999</v>
      </c>
      <c r="R55" s="1">
        <f>2217785.449*(0.921)</f>
        <v>2042580.3985290001</v>
      </c>
      <c r="S55" s="1">
        <f>5446*(0.921)</f>
        <v>5015.7660000000005</v>
      </c>
      <c r="T55" s="1">
        <f>2223231.449*(0.921)</f>
        <v>2047596.1645290002</v>
      </c>
      <c r="U55" s="1">
        <v>744</v>
      </c>
      <c r="V55" s="1">
        <v>0</v>
      </c>
      <c r="W55" s="1">
        <v>744</v>
      </c>
      <c r="X55" s="1">
        <v>0</v>
      </c>
    </row>
    <row r="56" spans="1:24" x14ac:dyDescent="0.25">
      <c r="A56" s="1">
        <v>48</v>
      </c>
      <c r="B56" s="1">
        <f>(C56-15)+112</f>
        <v>265.3</v>
      </c>
      <c r="C56" s="19">
        <v>168.3</v>
      </c>
      <c r="D56" s="19">
        <v>1148</v>
      </c>
      <c r="E56" s="21">
        <v>0</v>
      </c>
      <c r="F56" s="21">
        <v>0.82</v>
      </c>
      <c r="G56" s="21">
        <v>1.1499999999999999</v>
      </c>
      <c r="H56" s="21">
        <v>0.73</v>
      </c>
      <c r="I56" s="19">
        <v>4.5</v>
      </c>
      <c r="J56" s="19">
        <v>-0.6</v>
      </c>
      <c r="K56" s="1">
        <f>3051.026*(0.921)</f>
        <v>2809.9949459999998</v>
      </c>
      <c r="L56" s="1">
        <v>0</v>
      </c>
      <c r="M56" s="1">
        <f>3051.026*(0.921)</f>
        <v>2809.9949459999998</v>
      </c>
      <c r="N56" s="20">
        <v>98.42</v>
      </c>
      <c r="O56" s="1">
        <f>21262.234*(0.921)</f>
        <v>19582.517514000003</v>
      </c>
      <c r="P56" s="1">
        <v>22</v>
      </c>
      <c r="Q56" s="1">
        <f>21284.234*(0.921)</f>
        <v>19602.779514000002</v>
      </c>
      <c r="R56" s="1">
        <f>2841989.364*(0.921)</f>
        <v>2617472.2042440004</v>
      </c>
      <c r="S56" s="1">
        <f>4956*(0.921)</f>
        <v>4564.4760000000006</v>
      </c>
      <c r="T56" s="1">
        <f>2846945.364*(0.921)</f>
        <v>2622036.6802440002</v>
      </c>
      <c r="U56" s="1">
        <v>744</v>
      </c>
      <c r="V56" s="1">
        <v>0</v>
      </c>
      <c r="W56" s="1">
        <v>744</v>
      </c>
      <c r="X56" s="1">
        <v>0</v>
      </c>
    </row>
    <row r="57" spans="1:24" x14ac:dyDescent="0.25">
      <c r="A57" s="1">
        <v>49</v>
      </c>
      <c r="B57" s="1">
        <f>(C57-15)+112</f>
        <v>198.6</v>
      </c>
      <c r="C57" s="19">
        <v>101.6</v>
      </c>
      <c r="D57" s="19">
        <v>1185.2</v>
      </c>
      <c r="E57" s="21">
        <v>0</v>
      </c>
      <c r="F57" s="21">
        <v>0.8</v>
      </c>
      <c r="G57" s="21">
        <v>1.1499999999999999</v>
      </c>
      <c r="H57" s="21">
        <v>0.74</v>
      </c>
      <c r="I57" s="19">
        <v>6.5</v>
      </c>
      <c r="J57" s="19">
        <v>-9.8000000000000007</v>
      </c>
      <c r="K57" s="1">
        <f>2079.017*(0.921)</f>
        <v>1914.7746569999999</v>
      </c>
      <c r="L57" s="1">
        <v>0</v>
      </c>
      <c r="M57" s="1">
        <f>2079.017*(0.921)</f>
        <v>1914.7746569999999</v>
      </c>
      <c r="N57" s="20">
        <v>67.064999999999998</v>
      </c>
      <c r="O57" s="1">
        <f>14908.823*(0.921)</f>
        <v>13731.025983000001</v>
      </c>
      <c r="P57" s="1">
        <v>213</v>
      </c>
      <c r="Q57" s="1">
        <f>15121.823*(0.921)</f>
        <v>13927.198983</v>
      </c>
      <c r="R57" s="1">
        <f>2621115.484*(0.921)</f>
        <v>2414047.3607640001</v>
      </c>
      <c r="S57" s="1">
        <f>3765*(0.921)</f>
        <v>3467.5650000000001</v>
      </c>
      <c r="T57" s="1">
        <f>2624880.484*(0.921)</f>
        <v>2417514.925764</v>
      </c>
      <c r="U57" s="1">
        <v>744</v>
      </c>
      <c r="V57" s="1">
        <v>0</v>
      </c>
      <c r="W57" s="1">
        <v>744</v>
      </c>
      <c r="X57" s="1">
        <v>0</v>
      </c>
    </row>
    <row r="58" spans="1:24" x14ac:dyDescent="0.25">
      <c r="A58" s="1">
        <v>50</v>
      </c>
      <c r="B58" s="1">
        <f>(C58-15)+112</f>
        <v>211</v>
      </c>
      <c r="C58" s="19">
        <v>114</v>
      </c>
      <c r="D58" s="19">
        <v>1161.1500000000001</v>
      </c>
      <c r="E58" s="21">
        <v>0</v>
      </c>
      <c r="F58" s="21">
        <v>0.95</v>
      </c>
      <c r="G58" s="21">
        <v>1.25</v>
      </c>
      <c r="H58" s="21">
        <v>0.89</v>
      </c>
      <c r="I58" s="19">
        <v>12</v>
      </c>
      <c r="J58" s="19">
        <v>2.7</v>
      </c>
      <c r="K58" s="1">
        <f>4023.033*(0.921)</f>
        <v>3705.213393</v>
      </c>
      <c r="L58" s="1">
        <v>0</v>
      </c>
      <c r="M58" s="1">
        <f>4023.033*(0.921)</f>
        <v>3705.213393</v>
      </c>
      <c r="N58" s="20">
        <v>129.77500000000001</v>
      </c>
      <c r="O58" s="1">
        <f>25290.194*(0.921)</f>
        <v>23292.268673999999</v>
      </c>
      <c r="P58" s="1">
        <v>22</v>
      </c>
      <c r="Q58" s="1">
        <f>25312.194*(0.921)</f>
        <v>23312.530674000001</v>
      </c>
      <c r="R58" s="1">
        <f>1783003.261*(0.921)</f>
        <v>1642146.0033810001</v>
      </c>
      <c r="S58" s="1">
        <f>4538*(0.921)</f>
        <v>4179.4980000000005</v>
      </c>
      <c r="T58" s="1">
        <f>1787541.261*(0.921)</f>
        <v>1646325.501381</v>
      </c>
      <c r="U58" s="1">
        <v>744</v>
      </c>
      <c r="V58" s="1">
        <v>0</v>
      </c>
      <c r="W58" s="1">
        <v>744</v>
      </c>
      <c r="X58" s="1">
        <v>0</v>
      </c>
    </row>
    <row r="59" spans="1:24" x14ac:dyDescent="0.25">
      <c r="A59" s="1">
        <v>51</v>
      </c>
      <c r="B59" s="1">
        <f>(C59-15)+112</f>
        <v>199</v>
      </c>
      <c r="C59" s="19">
        <v>102</v>
      </c>
      <c r="D59" s="19">
        <v>1208</v>
      </c>
      <c r="E59" s="21">
        <v>0</v>
      </c>
      <c r="F59" s="21">
        <v>0.95</v>
      </c>
      <c r="G59" s="21">
        <v>1.25</v>
      </c>
      <c r="H59" s="21">
        <v>0.89</v>
      </c>
      <c r="I59" s="19">
        <v>9</v>
      </c>
      <c r="J59" s="19">
        <v>2.7</v>
      </c>
      <c r="K59" s="1">
        <f>3051.026*(0.921)</f>
        <v>2809.9949459999998</v>
      </c>
      <c r="L59" s="1">
        <v>0</v>
      </c>
      <c r="M59" s="1">
        <f>3051.026*(0.921)</f>
        <v>2809.9949459999998</v>
      </c>
      <c r="N59" s="20">
        <v>98.42</v>
      </c>
      <c r="O59" s="1">
        <f>17804.905*(0.921)</f>
        <v>16398.317504999999</v>
      </c>
      <c r="P59" s="1">
        <v>15</v>
      </c>
      <c r="Q59" s="1">
        <f>17819.905*(0.921)</f>
        <v>16412.132505000001</v>
      </c>
      <c r="R59" s="1">
        <f>1852881.35*(0.921)</f>
        <v>1706503.7233500001</v>
      </c>
      <c r="S59" s="1">
        <f>3170*(0.921)</f>
        <v>2919.57</v>
      </c>
      <c r="T59" s="1">
        <f>1856051.35*(0.921)</f>
        <v>1709423.2933500002</v>
      </c>
      <c r="U59" s="1">
        <v>744</v>
      </c>
      <c r="V59" s="1">
        <v>0</v>
      </c>
      <c r="W59" s="1">
        <v>744</v>
      </c>
      <c r="X59" s="1">
        <v>0</v>
      </c>
    </row>
    <row r="60" spans="1:24" x14ac:dyDescent="0.25">
      <c r="A60" s="1">
        <v>52</v>
      </c>
      <c r="B60" s="1">
        <f>(C60-15)+112</f>
        <v>199</v>
      </c>
      <c r="C60" s="19">
        <v>102</v>
      </c>
      <c r="D60" s="19">
        <v>1225.3</v>
      </c>
      <c r="E60" s="21">
        <v>0</v>
      </c>
      <c r="F60" s="21">
        <v>0.95</v>
      </c>
      <c r="G60" s="21">
        <v>1.25</v>
      </c>
      <c r="H60" s="21">
        <v>0.89</v>
      </c>
      <c r="I60" s="19">
        <v>7.5</v>
      </c>
      <c r="J60" s="19">
        <v>2.7</v>
      </c>
      <c r="K60" s="1">
        <f>2646.022*(0.921)</f>
        <v>2436.9862619999999</v>
      </c>
      <c r="L60" s="1">
        <v>0</v>
      </c>
      <c r="M60" s="1">
        <f>2646.022*(0.921)</f>
        <v>2436.9862619999999</v>
      </c>
      <c r="N60" s="20">
        <v>85.355999999999995</v>
      </c>
      <c r="O60" s="1">
        <f>14921.933*(0.921)</f>
        <v>13743.100293000001</v>
      </c>
      <c r="P60" s="1">
        <v>15</v>
      </c>
      <c r="Q60" s="1">
        <f>14936.933*(0.921)</f>
        <v>13756.915293000002</v>
      </c>
      <c r="R60" s="1">
        <f>1727510.547*(0.921)</f>
        <v>1591037.2137870002</v>
      </c>
      <c r="S60" s="1">
        <f>2366*(0.921)</f>
        <v>2179.0860000000002</v>
      </c>
      <c r="T60" s="1">
        <f>1729876.547*(0.921)</f>
        <v>1593216.2997870001</v>
      </c>
      <c r="U60" s="1">
        <v>744</v>
      </c>
      <c r="V60" s="1">
        <v>0</v>
      </c>
      <c r="W60" s="1">
        <v>744</v>
      </c>
      <c r="X60" s="1">
        <v>0</v>
      </c>
    </row>
    <row r="61" spans="1:24" x14ac:dyDescent="0.25">
      <c r="B61" s="1">
        <v>112</v>
      </c>
      <c r="C61" s="19"/>
      <c r="D61" s="19"/>
      <c r="E61" s="21"/>
      <c r="F61" s="21"/>
      <c r="G61" s="21"/>
      <c r="H61" s="21"/>
      <c r="I61" s="19"/>
      <c r="J61" s="19"/>
      <c r="K61" s="1">
        <f>0*(0.921)</f>
        <v>0</v>
      </c>
      <c r="M61" s="1">
        <f>0*(0.921)</f>
        <v>0</v>
      </c>
      <c r="N61" s="30" t="s">
        <v>54</v>
      </c>
      <c r="O61" s="1">
        <f>0*(0.921)</f>
        <v>0</v>
      </c>
      <c r="Q61" s="1">
        <f>0*(0.921)</f>
        <v>0</v>
      </c>
      <c r="R61" s="1">
        <f>0*(0.921)</f>
        <v>0</v>
      </c>
      <c r="S61" s="1">
        <f>0*(0.921)</f>
        <v>0</v>
      </c>
      <c r="T61" s="1">
        <f>0*(0.921)</f>
        <v>0</v>
      </c>
    </row>
    <row r="62" spans="1:24" x14ac:dyDescent="0.25">
      <c r="A62" s="1">
        <v>53</v>
      </c>
      <c r="B62" s="1">
        <f>(C62-15)+112</f>
        <v>265.3</v>
      </c>
      <c r="C62" s="19">
        <v>168.3</v>
      </c>
      <c r="D62" s="19">
        <v>1125.2</v>
      </c>
      <c r="E62" s="21">
        <v>0</v>
      </c>
      <c r="F62" s="21">
        <v>0.82</v>
      </c>
      <c r="G62" s="21">
        <v>0</v>
      </c>
      <c r="H62" s="21">
        <v>0.74</v>
      </c>
      <c r="I62" s="19">
        <v>-2</v>
      </c>
      <c r="J62" s="19">
        <v>-5.0999999999999996</v>
      </c>
      <c r="K62" s="1">
        <f>114.316*(0.921)</f>
        <v>105.28503600000001</v>
      </c>
      <c r="L62" s="1">
        <v>0</v>
      </c>
      <c r="M62" s="1">
        <f>114.316*(0.921)</f>
        <v>105.28503600000001</v>
      </c>
      <c r="N62" s="20">
        <v>54.872</v>
      </c>
      <c r="O62" s="1">
        <f>9131.703*(0.921)</f>
        <v>8410.2984629999992</v>
      </c>
      <c r="P62" s="1">
        <v>3</v>
      </c>
      <c r="Q62" s="1">
        <f>9134.703*(0.921)</f>
        <v>8413.061463</v>
      </c>
      <c r="R62" s="1">
        <f>6972925.85*(0.921)</f>
        <v>6422064.7078499999</v>
      </c>
      <c r="S62" s="1">
        <f>8390*(0.921)</f>
        <v>7727.1900000000005</v>
      </c>
      <c r="T62" s="1">
        <f>6981315.85*(0.921)</f>
        <v>6429791.8978500003</v>
      </c>
      <c r="U62" s="1">
        <v>50</v>
      </c>
      <c r="V62" s="1">
        <v>59</v>
      </c>
      <c r="W62" s="1">
        <v>109</v>
      </c>
      <c r="X62" s="1">
        <v>327</v>
      </c>
    </row>
    <row r="63" spans="1:24" x14ac:dyDescent="0.25">
      <c r="A63" s="1">
        <v>54</v>
      </c>
      <c r="B63" s="1">
        <f>(C63-15)+112</f>
        <v>265.3</v>
      </c>
      <c r="C63" s="19">
        <v>168.3</v>
      </c>
      <c r="D63" s="19">
        <v>1172.4000000000001</v>
      </c>
      <c r="E63" s="21">
        <v>0</v>
      </c>
      <c r="F63" s="21">
        <v>0.92</v>
      </c>
      <c r="G63" s="21">
        <v>0</v>
      </c>
      <c r="H63" s="21">
        <v>0.87</v>
      </c>
      <c r="I63" s="19">
        <v>-2</v>
      </c>
      <c r="J63" s="19">
        <v>0.5</v>
      </c>
      <c r="K63" s="1">
        <f>112.501*(0.921)</f>
        <v>103.613421</v>
      </c>
      <c r="L63" s="1">
        <v>0</v>
      </c>
      <c r="M63" s="1">
        <f>112.501*(0.921)</f>
        <v>103.613421</v>
      </c>
      <c r="N63" s="20">
        <v>54</v>
      </c>
      <c r="O63" s="1">
        <f>5278.001*(0.921)</f>
        <v>4861.0389210000003</v>
      </c>
      <c r="P63" s="1">
        <v>0</v>
      </c>
      <c r="Q63" s="1">
        <f>5278.001*(0.921)</f>
        <v>4861.0389210000003</v>
      </c>
      <c r="R63" s="1">
        <f>6647191.96*(0.921)</f>
        <v>6122063.7951600002</v>
      </c>
      <c r="S63" s="1">
        <f>15474*(0.921)</f>
        <v>14251.554</v>
      </c>
      <c r="T63" s="1">
        <f>6662665.96*(0.921)</f>
        <v>6136315.3491600007</v>
      </c>
      <c r="U63" s="1">
        <v>50</v>
      </c>
      <c r="V63" s="1">
        <v>694</v>
      </c>
      <c r="W63" s="1">
        <v>744</v>
      </c>
      <c r="X63" s="1">
        <v>327</v>
      </c>
    </row>
    <row r="64" spans="1:24" x14ac:dyDescent="0.25">
      <c r="A64" s="1">
        <v>55</v>
      </c>
      <c r="B64" s="1">
        <f>(C64-15)+112</f>
        <v>265.3</v>
      </c>
      <c r="C64" s="19">
        <v>168.3</v>
      </c>
      <c r="D64" s="19">
        <v>1158</v>
      </c>
      <c r="E64" s="21">
        <v>0</v>
      </c>
      <c r="F64" s="21">
        <v>0.85</v>
      </c>
      <c r="G64" s="21">
        <v>0</v>
      </c>
      <c r="H64" s="21">
        <v>0.74</v>
      </c>
      <c r="I64" s="19">
        <v>-2</v>
      </c>
      <c r="J64" s="19">
        <v>-9.5</v>
      </c>
      <c r="K64" s="1">
        <f>92.541*(0.921)</f>
        <v>85.230260999999999</v>
      </c>
      <c r="L64" s="1">
        <v>0</v>
      </c>
      <c r="M64" s="1">
        <f>92.541*(0.921)</f>
        <v>85.230260999999999</v>
      </c>
      <c r="N64" s="20">
        <v>44.42</v>
      </c>
      <c r="O64" s="1">
        <f>170.386*(0.921)</f>
        <v>156.92550600000001</v>
      </c>
      <c r="P64" s="1">
        <v>466</v>
      </c>
      <c r="Q64" s="1">
        <f>636.386*(0.921)</f>
        <v>586.11150599999996</v>
      </c>
      <c r="R64" s="1">
        <f>2134301.85*(0.921)</f>
        <v>1965692.0038500002</v>
      </c>
      <c r="S64" s="1">
        <f>5821*(0.921)</f>
        <v>5361.1410000000005</v>
      </c>
      <c r="T64" s="1">
        <f>2140122.85*(0.921)</f>
        <v>1971053.1448500003</v>
      </c>
      <c r="U64" s="1">
        <v>50</v>
      </c>
      <c r="V64" s="1">
        <v>694</v>
      </c>
      <c r="W64" s="1">
        <v>744</v>
      </c>
      <c r="X64" s="1">
        <v>327</v>
      </c>
    </row>
    <row r="65" spans="1:20" s="23" customFormat="1" ht="16.2" customHeight="1" x14ac:dyDescent="0.25">
      <c r="A65" s="44"/>
      <c r="C65" s="24"/>
      <c r="D65" s="24"/>
      <c r="E65" s="25"/>
      <c r="F65" s="25"/>
      <c r="G65" s="25"/>
      <c r="H65" s="25"/>
      <c r="I65" s="24"/>
      <c r="J65" s="24"/>
      <c r="N65" s="27"/>
    </row>
    <row r="66" spans="1:20" x14ac:dyDescent="0.25">
      <c r="A66" s="29"/>
    </row>
    <row r="67" spans="1:20" x14ac:dyDescent="0.25">
      <c r="A67" s="29" t="s">
        <v>32</v>
      </c>
    </row>
    <row r="68" spans="1:20" x14ac:dyDescent="0.25">
      <c r="A68" s="29" t="s">
        <v>33</v>
      </c>
    </row>
    <row r="69" spans="1:20" x14ac:dyDescent="0.25">
      <c r="A69" s="29" t="s">
        <v>59</v>
      </c>
    </row>
    <row r="70" spans="1:20" x14ac:dyDescent="0.25">
      <c r="N70" s="18"/>
    </row>
    <row r="71" spans="1:20" x14ac:dyDescent="0.25">
      <c r="C71" s="19"/>
      <c r="D71" s="19"/>
      <c r="E71" s="20"/>
      <c r="F71" s="20"/>
      <c r="G71" s="20"/>
      <c r="H71" s="20"/>
      <c r="I71" s="20"/>
      <c r="J71" s="20"/>
      <c r="N71" s="20"/>
      <c r="O71" s="20"/>
      <c r="Q71" s="20"/>
      <c r="R71" s="22"/>
      <c r="T71" s="22"/>
    </row>
    <row r="72" spans="1:20" x14ac:dyDescent="0.25">
      <c r="C72" s="19"/>
      <c r="D72" s="19"/>
      <c r="E72" s="20"/>
      <c r="F72" s="20"/>
      <c r="G72" s="20"/>
      <c r="H72" s="20"/>
      <c r="I72" s="20"/>
      <c r="J72" s="20"/>
      <c r="N72" s="20"/>
      <c r="O72" s="20"/>
      <c r="Q72" s="20"/>
      <c r="R72" s="22"/>
      <c r="T72" s="22"/>
    </row>
    <row r="73" spans="1:20" x14ac:dyDescent="0.25">
      <c r="C73" s="19"/>
      <c r="D73" s="19"/>
      <c r="E73" s="20"/>
      <c r="F73" s="20"/>
      <c r="G73" s="20"/>
      <c r="H73" s="20"/>
      <c r="I73" s="20"/>
      <c r="J73" s="20"/>
      <c r="N73" s="20"/>
      <c r="O73" s="20"/>
      <c r="Q73" s="20"/>
      <c r="R73" s="22"/>
      <c r="T73" s="22"/>
    </row>
    <row r="74" spans="1:20" x14ac:dyDescent="0.25">
      <c r="C74" s="19"/>
      <c r="D74" s="19"/>
      <c r="E74" s="20"/>
      <c r="F74" s="20"/>
      <c r="G74" s="20"/>
      <c r="H74" s="20"/>
      <c r="I74" s="20"/>
      <c r="J74" s="20"/>
      <c r="N74" s="20"/>
      <c r="O74" s="20"/>
      <c r="Q74" s="20"/>
      <c r="R74" s="22"/>
      <c r="T74" s="22"/>
    </row>
    <row r="75" spans="1:20" x14ac:dyDescent="0.25">
      <c r="C75" s="19"/>
      <c r="D75" s="19"/>
      <c r="E75" s="20"/>
      <c r="F75" s="20"/>
      <c r="G75" s="20"/>
      <c r="H75" s="20"/>
      <c r="I75" s="20"/>
      <c r="J75" s="20"/>
      <c r="N75" s="20"/>
      <c r="O75" s="20"/>
      <c r="Q75" s="20"/>
      <c r="R75" s="22"/>
      <c r="T75" s="22"/>
    </row>
    <row r="76" spans="1:20" x14ac:dyDescent="0.25">
      <c r="C76" s="19"/>
      <c r="D76" s="19"/>
      <c r="E76" s="20"/>
      <c r="F76" s="20"/>
      <c r="G76" s="20"/>
      <c r="H76" s="20"/>
      <c r="I76" s="20"/>
      <c r="J76" s="20"/>
      <c r="N76" s="20"/>
      <c r="O76" s="20"/>
      <c r="Q76" s="20"/>
      <c r="R76" s="22"/>
      <c r="T76" s="22"/>
    </row>
    <row r="77" spans="1:20" x14ac:dyDescent="0.25">
      <c r="C77" s="19"/>
      <c r="D77" s="19"/>
      <c r="E77" s="20"/>
      <c r="F77" s="20"/>
      <c r="G77" s="20"/>
      <c r="H77" s="20"/>
      <c r="I77" s="20"/>
      <c r="J77" s="20"/>
      <c r="N77" s="30"/>
      <c r="O77" s="20"/>
      <c r="Q77" s="20"/>
      <c r="R77" s="20"/>
      <c r="T77" s="20"/>
    </row>
    <row r="78" spans="1:20" x14ac:dyDescent="0.25">
      <c r="C78" s="19"/>
      <c r="D78" s="19"/>
      <c r="E78" s="20"/>
      <c r="F78" s="20"/>
      <c r="G78" s="20"/>
      <c r="H78" s="20"/>
      <c r="I78" s="20"/>
      <c r="J78" s="20"/>
      <c r="N78" s="20"/>
      <c r="O78" s="20"/>
      <c r="Q78" s="20"/>
      <c r="R78" s="20"/>
      <c r="T78" s="20"/>
    </row>
    <row r="79" spans="1:20" x14ac:dyDescent="0.25">
      <c r="C79" s="19"/>
      <c r="D79" s="19"/>
      <c r="E79" s="20"/>
      <c r="F79" s="20"/>
      <c r="G79" s="20"/>
      <c r="H79" s="20"/>
      <c r="I79" s="20"/>
      <c r="J79" s="20"/>
      <c r="N79" s="20"/>
      <c r="O79" s="20"/>
      <c r="Q79" s="20"/>
      <c r="R79" s="20"/>
      <c r="T79" s="20"/>
    </row>
    <row r="80" spans="1:20" x14ac:dyDescent="0.25">
      <c r="C80" s="19"/>
      <c r="D80" s="19"/>
      <c r="E80" s="20"/>
      <c r="F80" s="20"/>
      <c r="G80" s="20"/>
      <c r="H80" s="20"/>
      <c r="I80" s="20"/>
      <c r="J80" s="20"/>
      <c r="N80" s="30"/>
      <c r="O80" s="20"/>
      <c r="Q80" s="20"/>
      <c r="R80" s="20"/>
      <c r="T80" s="20"/>
    </row>
    <row r="81" spans="3:20" x14ac:dyDescent="0.25">
      <c r="C81" s="19"/>
      <c r="D81" s="19"/>
      <c r="E81" s="20"/>
      <c r="F81" s="20"/>
      <c r="G81" s="20"/>
      <c r="H81" s="20"/>
      <c r="I81" s="20"/>
      <c r="J81" s="20"/>
      <c r="N81" s="20"/>
      <c r="O81" s="20"/>
      <c r="Q81" s="20"/>
      <c r="R81" s="20"/>
      <c r="T81" s="22"/>
    </row>
    <row r="82" spans="3:20" x14ac:dyDescent="0.25">
      <c r="C82" s="19"/>
      <c r="D82" s="19"/>
      <c r="E82" s="20"/>
      <c r="F82" s="20"/>
      <c r="G82" s="20"/>
      <c r="H82" s="20"/>
      <c r="I82" s="20"/>
      <c r="J82" s="20"/>
      <c r="N82" s="30"/>
      <c r="O82" s="20"/>
      <c r="Q82" s="20"/>
      <c r="R82" s="20"/>
      <c r="T82" s="20"/>
    </row>
    <row r="83" spans="3:20" x14ac:dyDescent="0.25">
      <c r="C83" s="19"/>
      <c r="D83" s="19"/>
      <c r="E83" s="20"/>
      <c r="F83" s="20"/>
      <c r="G83" s="20"/>
      <c r="H83" s="20"/>
      <c r="I83" s="20"/>
      <c r="J83" s="20"/>
      <c r="N83" s="20"/>
      <c r="O83" s="20"/>
      <c r="Q83" s="20"/>
      <c r="R83" s="20"/>
      <c r="T83" s="20"/>
    </row>
    <row r="84" spans="3:20" x14ac:dyDescent="0.25">
      <c r="C84" s="19"/>
      <c r="D84" s="19"/>
      <c r="E84" s="20"/>
      <c r="F84" s="20"/>
      <c r="G84" s="20"/>
      <c r="H84" s="20"/>
      <c r="I84" s="20"/>
      <c r="J84" s="20"/>
      <c r="N84" s="20"/>
      <c r="O84" s="20"/>
      <c r="Q84" s="20"/>
      <c r="R84" s="20"/>
      <c r="T84" s="20"/>
    </row>
    <row r="85" spans="3:20" x14ac:dyDescent="0.25">
      <c r="C85" s="19"/>
      <c r="D85" s="19"/>
      <c r="E85" s="20"/>
      <c r="F85" s="20"/>
      <c r="G85" s="20"/>
      <c r="H85" s="20"/>
      <c r="I85" s="20"/>
      <c r="J85" s="20"/>
      <c r="N85" s="20"/>
      <c r="O85" s="20"/>
      <c r="Q85" s="20"/>
      <c r="R85" s="20"/>
      <c r="T85" s="20"/>
    </row>
    <row r="86" spans="3:20" x14ac:dyDescent="0.25">
      <c r="C86" s="19"/>
      <c r="D86" s="19"/>
      <c r="E86" s="20"/>
      <c r="F86" s="20"/>
      <c r="G86" s="20"/>
      <c r="H86" s="20"/>
      <c r="I86" s="20"/>
      <c r="J86" s="20"/>
      <c r="N86" s="20"/>
      <c r="O86" s="20"/>
      <c r="Q86" s="20"/>
      <c r="R86" s="20"/>
      <c r="T86" s="20"/>
    </row>
    <row r="87" spans="3:20" x14ac:dyDescent="0.25">
      <c r="C87" s="19"/>
      <c r="D87" s="19"/>
      <c r="E87" s="20"/>
      <c r="F87" s="20"/>
      <c r="G87" s="20"/>
      <c r="H87" s="20"/>
      <c r="I87" s="20"/>
      <c r="J87" s="20"/>
      <c r="N87" s="20"/>
      <c r="O87" s="20"/>
      <c r="Q87" s="20"/>
      <c r="R87" s="20"/>
      <c r="T87" s="20"/>
    </row>
    <row r="88" spans="3:20" x14ac:dyDescent="0.25">
      <c r="C88" s="19"/>
      <c r="D88" s="19"/>
      <c r="E88" s="20"/>
      <c r="F88" s="20"/>
      <c r="G88" s="20"/>
      <c r="H88" s="20"/>
      <c r="I88" s="20"/>
      <c r="J88" s="20"/>
      <c r="N88" s="20"/>
      <c r="O88" s="20"/>
      <c r="Q88" s="20"/>
      <c r="R88" s="20"/>
      <c r="T88" s="20"/>
    </row>
    <row r="89" spans="3:20" x14ac:dyDescent="0.25">
      <c r="C89" s="19"/>
      <c r="D89" s="19"/>
      <c r="E89" s="20"/>
      <c r="F89" s="20"/>
      <c r="G89" s="20"/>
      <c r="H89" s="20"/>
      <c r="I89" s="20"/>
      <c r="J89" s="20"/>
      <c r="N89" s="20"/>
      <c r="O89" s="20"/>
      <c r="Q89" s="20"/>
      <c r="R89" s="20"/>
      <c r="T89" s="20"/>
    </row>
    <row r="90" spans="3:20" x14ac:dyDescent="0.25">
      <c r="C90" s="19"/>
      <c r="D90" s="19"/>
      <c r="E90" s="20"/>
      <c r="F90" s="20"/>
      <c r="G90" s="20"/>
      <c r="H90" s="20"/>
      <c r="I90" s="20"/>
      <c r="J90" s="20"/>
      <c r="N90" s="30"/>
      <c r="O90" s="20"/>
      <c r="Q90" s="20"/>
      <c r="R90" s="20"/>
      <c r="T90" s="20"/>
    </row>
    <row r="91" spans="3:20" x14ac:dyDescent="0.25">
      <c r="C91" s="19"/>
      <c r="D91" s="19"/>
      <c r="E91" s="20"/>
      <c r="F91" s="20"/>
      <c r="G91" s="20"/>
      <c r="H91" s="20"/>
      <c r="I91" s="20"/>
      <c r="J91" s="20"/>
      <c r="N91" s="20"/>
      <c r="O91" s="20"/>
      <c r="Q91" s="20"/>
      <c r="R91" s="20"/>
      <c r="T91" s="20"/>
    </row>
    <row r="92" spans="3:20" x14ac:dyDescent="0.25">
      <c r="C92" s="19"/>
      <c r="D92" s="19"/>
      <c r="E92" s="20"/>
      <c r="F92" s="20"/>
      <c r="G92" s="20"/>
      <c r="H92" s="20"/>
      <c r="I92" s="20"/>
      <c r="J92" s="20"/>
      <c r="N92" s="20"/>
      <c r="O92" s="20"/>
      <c r="Q92" s="20"/>
      <c r="R92" s="20"/>
      <c r="T92" s="20"/>
    </row>
    <row r="93" spans="3:20" x14ac:dyDescent="0.25">
      <c r="C93" s="19"/>
      <c r="D93" s="19"/>
      <c r="E93" s="20"/>
      <c r="F93" s="20"/>
      <c r="G93" s="20"/>
      <c r="H93" s="20"/>
      <c r="I93" s="20"/>
      <c r="J93" s="20"/>
      <c r="N93" s="20"/>
      <c r="O93" s="20"/>
      <c r="Q93" s="20"/>
      <c r="R93" s="20"/>
      <c r="T93" s="20"/>
    </row>
    <row r="94" spans="3:20" x14ac:dyDescent="0.25">
      <c r="C94" s="19"/>
      <c r="D94" s="19"/>
      <c r="E94" s="20"/>
      <c r="F94" s="20"/>
      <c r="G94" s="20"/>
      <c r="H94" s="20"/>
      <c r="I94" s="20"/>
      <c r="J94" s="20"/>
      <c r="N94" s="20"/>
      <c r="O94" s="20"/>
      <c r="Q94" s="20"/>
      <c r="R94" s="20"/>
      <c r="T94" s="20"/>
    </row>
    <row r="95" spans="3:20" x14ac:dyDescent="0.25">
      <c r="C95" s="19"/>
      <c r="D95" s="19"/>
      <c r="E95" s="20"/>
      <c r="F95" s="20"/>
      <c r="G95" s="20"/>
      <c r="H95" s="20"/>
      <c r="I95" s="20"/>
      <c r="J95" s="20"/>
      <c r="N95" s="20"/>
      <c r="O95" s="20"/>
      <c r="Q95" s="20"/>
      <c r="R95" s="20"/>
      <c r="T95" s="20"/>
    </row>
    <row r="96" spans="3:20" x14ac:dyDescent="0.25">
      <c r="C96" s="19"/>
      <c r="D96" s="19"/>
      <c r="E96" s="20"/>
      <c r="F96" s="20"/>
      <c r="G96" s="20"/>
      <c r="H96" s="20"/>
      <c r="I96" s="20"/>
      <c r="J96" s="20"/>
      <c r="N96" s="20"/>
      <c r="O96" s="20"/>
      <c r="Q96" s="20"/>
      <c r="R96" s="20"/>
      <c r="T96" s="20"/>
    </row>
    <row r="97" spans="1:24" x14ac:dyDescent="0.25">
      <c r="C97" s="19"/>
      <c r="D97" s="19"/>
      <c r="E97" s="20"/>
      <c r="F97" s="20"/>
      <c r="G97" s="20"/>
      <c r="H97" s="20"/>
      <c r="I97" s="20"/>
      <c r="J97" s="20"/>
      <c r="N97" s="20"/>
      <c r="O97" s="20"/>
      <c r="Q97" s="20"/>
      <c r="R97" s="20"/>
      <c r="T97" s="20"/>
    </row>
    <row r="98" spans="1:24" x14ac:dyDescent="0.25">
      <c r="C98" s="19"/>
      <c r="D98" s="19"/>
      <c r="E98" s="20"/>
      <c r="F98" s="20"/>
      <c r="G98" s="20"/>
      <c r="H98" s="20"/>
      <c r="I98" s="20"/>
      <c r="J98" s="20"/>
      <c r="N98" s="20"/>
      <c r="O98" s="20"/>
      <c r="Q98" s="20"/>
      <c r="R98" s="20"/>
      <c r="T98" s="20"/>
    </row>
    <row r="99" spans="1:24" x14ac:dyDescent="0.25">
      <c r="C99" s="19"/>
      <c r="D99" s="19"/>
      <c r="E99" s="20"/>
      <c r="F99" s="20"/>
      <c r="G99" s="20"/>
      <c r="H99" s="20"/>
      <c r="I99" s="20"/>
      <c r="J99" s="20"/>
      <c r="N99" s="20"/>
      <c r="O99" s="20"/>
      <c r="Q99" s="20"/>
      <c r="R99" s="20"/>
      <c r="T99" s="20"/>
    </row>
    <row r="100" spans="1:24" x14ac:dyDescent="0.25">
      <c r="C100" s="19"/>
      <c r="D100" s="19"/>
      <c r="E100" s="20"/>
      <c r="F100" s="20"/>
      <c r="G100" s="20"/>
      <c r="H100" s="20"/>
      <c r="I100" s="20"/>
      <c r="J100" s="20"/>
      <c r="N100" s="20"/>
      <c r="O100" s="20"/>
      <c r="Q100" s="20"/>
      <c r="R100" s="20"/>
      <c r="T100" s="20"/>
    </row>
    <row r="101" spans="1:24" x14ac:dyDescent="0.25">
      <c r="C101" s="19"/>
      <c r="D101" s="19"/>
      <c r="E101" s="20"/>
      <c r="F101" s="20"/>
      <c r="G101" s="20"/>
      <c r="H101" s="20"/>
      <c r="I101" s="20"/>
      <c r="J101" s="20"/>
      <c r="N101" s="30"/>
      <c r="O101" s="20"/>
      <c r="Q101" s="20"/>
      <c r="R101" s="20"/>
      <c r="T101" s="20"/>
    </row>
    <row r="102" spans="1:24" x14ac:dyDescent="0.25">
      <c r="C102" s="19"/>
      <c r="D102" s="19"/>
      <c r="E102" s="20"/>
      <c r="F102" s="20"/>
      <c r="G102" s="20"/>
      <c r="H102" s="20"/>
      <c r="I102" s="20"/>
      <c r="J102" s="20"/>
      <c r="N102" s="20"/>
      <c r="O102" s="20"/>
      <c r="Q102" s="20"/>
      <c r="R102" s="20"/>
      <c r="T102" s="22"/>
    </row>
    <row r="103" spans="1:24" x14ac:dyDescent="0.25">
      <c r="C103" s="19"/>
      <c r="D103" s="19"/>
      <c r="E103" s="20"/>
      <c r="F103" s="20"/>
      <c r="G103" s="20"/>
      <c r="H103" s="20"/>
      <c r="I103" s="20"/>
      <c r="J103" s="20"/>
      <c r="N103" s="20"/>
      <c r="O103" s="20"/>
      <c r="Q103" s="20"/>
      <c r="R103" s="22"/>
      <c r="T103" s="22"/>
    </row>
    <row r="104" spans="1:24" x14ac:dyDescent="0.25">
      <c r="C104" s="19"/>
      <c r="D104" s="19"/>
      <c r="E104" s="20"/>
      <c r="F104" s="20"/>
      <c r="G104" s="20"/>
      <c r="H104" s="20"/>
      <c r="I104" s="20"/>
      <c r="J104" s="20"/>
      <c r="N104" s="20"/>
      <c r="O104" s="20"/>
      <c r="Q104" s="20"/>
      <c r="R104" s="22"/>
      <c r="T104" s="22"/>
    </row>
    <row r="105" spans="1:24" x14ac:dyDescent="0.25">
      <c r="C105" s="19"/>
      <c r="D105" s="19"/>
      <c r="E105" s="20"/>
      <c r="F105" s="20"/>
      <c r="G105" s="20"/>
      <c r="H105" s="20"/>
      <c r="I105" s="20"/>
      <c r="J105" s="20"/>
      <c r="N105" s="30"/>
      <c r="O105" s="20"/>
      <c r="Q105" s="20"/>
      <c r="R105" s="20"/>
      <c r="T105" s="20"/>
    </row>
    <row r="106" spans="1:24" x14ac:dyDescent="0.25">
      <c r="C106" s="19"/>
      <c r="D106" s="19"/>
      <c r="E106" s="20"/>
      <c r="F106" s="20"/>
      <c r="G106" s="20"/>
      <c r="H106" s="20"/>
      <c r="I106" s="20"/>
      <c r="J106" s="20"/>
      <c r="N106" s="20"/>
      <c r="O106" s="20"/>
      <c r="Q106" s="20"/>
      <c r="R106" s="22"/>
      <c r="T106" s="22"/>
    </row>
    <row r="107" spans="1:24" x14ac:dyDescent="0.25">
      <c r="C107" s="19"/>
      <c r="D107" s="19"/>
      <c r="E107" s="20"/>
      <c r="F107" s="20"/>
      <c r="G107" s="20"/>
      <c r="H107" s="20"/>
      <c r="I107" s="20"/>
      <c r="J107" s="20"/>
      <c r="N107" s="20"/>
      <c r="O107" s="20"/>
      <c r="Q107" s="20"/>
      <c r="R107" s="20"/>
      <c r="T107" s="20"/>
    </row>
    <row r="108" spans="1:24" x14ac:dyDescent="0.25">
      <c r="A108" s="28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</row>
    <row r="109" spans="1:24" x14ac:dyDescent="0.25">
      <c r="A109" s="28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 spans="1:24" x14ac:dyDescent="0.25">
      <c r="A110" s="29"/>
    </row>
    <row r="111" spans="1:24" x14ac:dyDescent="0.25">
      <c r="A111" s="29"/>
    </row>
    <row r="112" spans="1:24" x14ac:dyDescent="0.25">
      <c r="A112" s="29"/>
    </row>
    <row r="113" spans="1:24" x14ac:dyDescent="0.25">
      <c r="A113" s="29"/>
    </row>
    <row r="114" spans="1:24" x14ac:dyDescent="0.25">
      <c r="A114" s="29"/>
    </row>
    <row r="115" spans="1:24" x14ac:dyDescent="0.25">
      <c r="A115" s="29"/>
    </row>
    <row r="116" spans="1:24" x14ac:dyDescent="0.25">
      <c r="A116" s="29"/>
    </row>
    <row r="117" spans="1:24" x14ac:dyDescent="0.25">
      <c r="A117" s="29"/>
    </row>
    <row r="118" spans="1:24" x14ac:dyDescent="0.25">
      <c r="A118" s="29"/>
    </row>
    <row r="119" spans="1:24" x14ac:dyDescent="0.25">
      <c r="A119" s="29"/>
    </row>
    <row r="120" spans="1:24" x14ac:dyDescent="0.25">
      <c r="A120" s="29"/>
      <c r="H120" s="39"/>
      <c r="I120" s="40"/>
    </row>
    <row r="121" spans="1:24" x14ac:dyDescent="0.25">
      <c r="A121" s="31"/>
      <c r="B121" s="2"/>
      <c r="C121" s="2"/>
      <c r="D121" s="2"/>
      <c r="E121" s="2"/>
      <c r="F121" s="2"/>
      <c r="G121" s="2"/>
      <c r="H121" s="41"/>
      <c r="I121" s="4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</sheetData>
  <mergeCells count="11">
    <mergeCell ref="H120:I120"/>
    <mergeCell ref="H121:I121"/>
    <mergeCell ref="A5:A6"/>
    <mergeCell ref="B5:B6"/>
    <mergeCell ref="E5:J5"/>
    <mergeCell ref="K5:M5"/>
    <mergeCell ref="O5:Q5"/>
    <mergeCell ref="X5:X6"/>
    <mergeCell ref="R5:T5"/>
    <mergeCell ref="U5:V5"/>
    <mergeCell ref="W5:W6"/>
  </mergeCells>
  <phoneticPr fontId="0" type="noConversion"/>
  <pageMargins left="1.5748031496062993" right="0.39370078740157483" top="0.78740157480314965" bottom="0.78740157480314965" header="0.51181102362204722" footer="0.31496062992125984"/>
  <pageSetup paperSize="8" scale="84" fitToHeight="100" orientation="landscape" r:id="rId1"/>
  <headerFooter alignWithMargins="0">
    <oddHeader>&amp;RСтраница &amp;P
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17"/>
  <sheetViews>
    <sheetView tabSelected="1" zoomScale="90" zoomScaleNormal="90" workbookViewId="0">
      <selection activeCell="N64" sqref="N64"/>
    </sheetView>
  </sheetViews>
  <sheetFormatPr defaultColWidth="9.109375" defaultRowHeight="13.2" x14ac:dyDescent="0.25"/>
  <cols>
    <col min="1" max="1" width="4.33203125" style="1" customWidth="1"/>
    <col min="2" max="2" width="8" style="1" customWidth="1"/>
    <col min="3" max="3" width="6.33203125" style="1" customWidth="1"/>
    <col min="4" max="4" width="8" style="1" customWidth="1"/>
    <col min="5" max="7" width="5.6640625" style="1" customWidth="1"/>
    <col min="8" max="8" width="6.33203125" style="1" customWidth="1"/>
    <col min="9" max="10" width="5.6640625" style="1" customWidth="1"/>
    <col min="11" max="11" width="13.88671875" style="1" customWidth="1"/>
    <col min="12" max="12" width="11.88671875" style="1" customWidth="1"/>
    <col min="13" max="13" width="14" style="1" customWidth="1"/>
    <col min="14" max="14" width="7.44140625" style="1" customWidth="1"/>
    <col min="15" max="15" width="14" style="1" customWidth="1"/>
    <col min="16" max="16" width="12" style="1" customWidth="1"/>
    <col min="17" max="17" width="13.6640625" style="1" customWidth="1"/>
    <col min="18" max="18" width="17.33203125" style="1" customWidth="1"/>
    <col min="19" max="19" width="12.88671875" style="1" customWidth="1"/>
    <col min="20" max="20" width="17.6640625" style="1" customWidth="1"/>
    <col min="21" max="21" width="8.44140625" style="1" customWidth="1"/>
    <col min="22" max="22" width="5.6640625" style="1" customWidth="1"/>
    <col min="23" max="23" width="8.33203125" style="1" customWidth="1"/>
    <col min="24" max="24" width="5.109375" style="1" customWidth="1"/>
    <col min="25" max="16384" width="9.109375" style="1"/>
  </cols>
  <sheetData>
    <row r="1" spans="1:24" ht="15.6" x14ac:dyDescent="0.25">
      <c r="T1" s="17" t="s">
        <v>23</v>
      </c>
    </row>
    <row r="2" spans="1:24" s="14" customFormat="1" ht="13.8" x14ac:dyDescent="0.25">
      <c r="A2" s="14" t="s">
        <v>64</v>
      </c>
      <c r="N2" s="15" t="s">
        <v>22</v>
      </c>
    </row>
    <row r="3" spans="1:24" s="14" customFormat="1" ht="13.8" x14ac:dyDescent="0.25">
      <c r="A3" s="14" t="s">
        <v>60</v>
      </c>
      <c r="N3" s="15" t="s">
        <v>61</v>
      </c>
    </row>
    <row r="4" spans="1:24" x14ac:dyDescent="0.25">
      <c r="K4" s="12"/>
      <c r="M4" s="18" t="s">
        <v>65</v>
      </c>
      <c r="N4" s="16" t="s">
        <v>62</v>
      </c>
    </row>
    <row r="5" spans="1:24" ht="48" customHeight="1" x14ac:dyDescent="0.25">
      <c r="A5" s="32" t="s">
        <v>1</v>
      </c>
      <c r="B5" s="32" t="s">
        <v>7</v>
      </c>
      <c r="C5" s="3" t="s">
        <v>5</v>
      </c>
      <c r="D5" s="3" t="s">
        <v>12</v>
      </c>
      <c r="E5" s="34" t="s">
        <v>0</v>
      </c>
      <c r="F5" s="35"/>
      <c r="G5" s="35"/>
      <c r="H5" s="35"/>
      <c r="I5" s="36"/>
      <c r="J5" s="37"/>
      <c r="K5" s="34" t="s">
        <v>26</v>
      </c>
      <c r="L5" s="36"/>
      <c r="M5" s="37"/>
      <c r="N5" s="4" t="s">
        <v>6</v>
      </c>
      <c r="O5" s="34" t="s">
        <v>27</v>
      </c>
      <c r="P5" s="35"/>
      <c r="Q5" s="38"/>
      <c r="R5" s="34" t="s">
        <v>28</v>
      </c>
      <c r="S5" s="36"/>
      <c r="T5" s="37"/>
      <c r="U5" s="43" t="s">
        <v>2</v>
      </c>
      <c r="V5" s="36"/>
      <c r="W5" s="32" t="s">
        <v>8</v>
      </c>
      <c r="X5" s="32" t="s">
        <v>9</v>
      </c>
    </row>
    <row r="6" spans="1:24" ht="24.75" customHeight="1" x14ac:dyDescent="0.25">
      <c r="A6" s="33"/>
      <c r="B6" s="33"/>
      <c r="C6" s="5" t="s">
        <v>10</v>
      </c>
      <c r="D6" s="5" t="s">
        <v>11</v>
      </c>
      <c r="E6" s="6" t="s">
        <v>18</v>
      </c>
      <c r="F6" s="7" t="s">
        <v>19</v>
      </c>
      <c r="G6" s="7" t="s">
        <v>20</v>
      </c>
      <c r="H6" s="7" t="s">
        <v>21</v>
      </c>
      <c r="I6" s="7" t="s">
        <v>3</v>
      </c>
      <c r="J6" s="7" t="s">
        <v>4</v>
      </c>
      <c r="K6" s="7" t="s">
        <v>14</v>
      </c>
      <c r="L6" s="8" t="s">
        <v>17</v>
      </c>
      <c r="M6" s="7" t="s">
        <v>16</v>
      </c>
      <c r="N6" s="5" t="s">
        <v>13</v>
      </c>
      <c r="O6" s="7" t="s">
        <v>14</v>
      </c>
      <c r="P6" s="8" t="s">
        <v>17</v>
      </c>
      <c r="Q6" s="7" t="s">
        <v>15</v>
      </c>
      <c r="R6" s="7" t="s">
        <v>14</v>
      </c>
      <c r="S6" s="8" t="s">
        <v>17</v>
      </c>
      <c r="T6" s="7" t="s">
        <v>15</v>
      </c>
      <c r="U6" s="7" t="s">
        <v>24</v>
      </c>
      <c r="V6" s="13" t="s">
        <v>25</v>
      </c>
      <c r="W6" s="33"/>
      <c r="X6" s="33"/>
    </row>
    <row r="7" spans="1:24" s="11" customFormat="1" ht="10.199999999999999" x14ac:dyDescent="0.2">
      <c r="A7" s="10">
        <v>1</v>
      </c>
      <c r="B7" s="10">
        <v>2</v>
      </c>
      <c r="C7" s="10">
        <v>3</v>
      </c>
      <c r="D7" s="10">
        <v>4</v>
      </c>
      <c r="E7" s="10">
        <v>5</v>
      </c>
      <c r="F7" s="10">
        <v>6</v>
      </c>
      <c r="G7" s="10">
        <v>7</v>
      </c>
      <c r="H7" s="10">
        <v>8</v>
      </c>
      <c r="I7" s="10">
        <v>9</v>
      </c>
      <c r="J7" s="10">
        <v>10</v>
      </c>
      <c r="K7" s="10">
        <v>11</v>
      </c>
      <c r="L7" s="10">
        <v>12</v>
      </c>
      <c r="M7" s="10">
        <v>13</v>
      </c>
      <c r="N7" s="10">
        <v>14</v>
      </c>
      <c r="O7" s="10">
        <v>15</v>
      </c>
      <c r="P7" s="10">
        <v>16</v>
      </c>
      <c r="Q7" s="10">
        <v>17</v>
      </c>
      <c r="R7" s="10">
        <v>18</v>
      </c>
      <c r="S7" s="10">
        <v>19</v>
      </c>
      <c r="T7" s="10">
        <v>20</v>
      </c>
      <c r="U7" s="10">
        <v>21</v>
      </c>
      <c r="V7" s="10">
        <v>22</v>
      </c>
      <c r="W7" s="10">
        <v>23</v>
      </c>
      <c r="X7" s="10">
        <v>24</v>
      </c>
    </row>
    <row r="8" spans="1:24" x14ac:dyDescent="0.25">
      <c r="N8" s="18" t="s">
        <v>30</v>
      </c>
    </row>
    <row r="9" spans="1:24" x14ac:dyDescent="0.25">
      <c r="A9" s="1">
        <v>1</v>
      </c>
      <c r="B9" s="1">
        <v>158</v>
      </c>
      <c r="C9" s="19">
        <v>168</v>
      </c>
      <c r="D9" s="19">
        <v>1120.0999999999999</v>
      </c>
      <c r="E9" s="21">
        <v>0</v>
      </c>
      <c r="F9" s="21">
        <v>0.66</v>
      </c>
      <c r="G9" s="21">
        <v>0</v>
      </c>
      <c r="H9" s="21">
        <v>0.63</v>
      </c>
      <c r="I9" s="19">
        <v>-3</v>
      </c>
      <c r="J9" s="19">
        <v>2.9</v>
      </c>
      <c r="K9" s="1">
        <v>2202.6777249000002</v>
      </c>
      <c r="L9" s="1">
        <v>0</v>
      </c>
      <c r="M9" s="1">
        <v>2202.6777249000002</v>
      </c>
      <c r="N9" s="20">
        <v>63.938000000000002</v>
      </c>
      <c r="O9" s="1">
        <v>20732.266108399999</v>
      </c>
      <c r="P9" s="1">
        <v>0</v>
      </c>
      <c r="Q9" s="1">
        <v>20732.266108399999</v>
      </c>
      <c r="R9" s="1">
        <v>7229659.1042571999</v>
      </c>
      <c r="S9" s="1">
        <v>19343.287799999998</v>
      </c>
      <c r="T9" s="1">
        <v>7249002.3920572</v>
      </c>
      <c r="U9" s="1">
        <v>744</v>
      </c>
      <c r="V9" s="1">
        <v>0</v>
      </c>
      <c r="W9" s="1">
        <v>744</v>
      </c>
      <c r="X9" s="1">
        <v>0</v>
      </c>
    </row>
    <row r="10" spans="1:24" x14ac:dyDescent="0.25">
      <c r="A10" s="1">
        <v>2</v>
      </c>
      <c r="B10" s="1">
        <v>159</v>
      </c>
      <c r="C10" s="19">
        <v>168.3</v>
      </c>
      <c r="D10" s="19">
        <v>1177.4000000000001</v>
      </c>
      <c r="E10" s="21">
        <v>0</v>
      </c>
      <c r="F10" s="21">
        <v>0.67</v>
      </c>
      <c r="G10" s="21">
        <v>0</v>
      </c>
      <c r="H10" s="21">
        <v>0.63</v>
      </c>
      <c r="I10" s="19">
        <v>12.5</v>
      </c>
      <c r="J10" s="19">
        <v>2.9</v>
      </c>
      <c r="K10" s="1">
        <v>4605.6005967999999</v>
      </c>
      <c r="L10" s="1">
        <v>0</v>
      </c>
      <c r="M10" s="1">
        <v>4605.6005967999999</v>
      </c>
      <c r="N10" s="20">
        <v>133.68799999999999</v>
      </c>
      <c r="O10" s="1">
        <v>30094.813026399999</v>
      </c>
      <c r="P10" s="1">
        <v>29</v>
      </c>
      <c r="Q10" s="1">
        <v>30127.040726399999</v>
      </c>
      <c r="R10" s="1">
        <v>9467022.7892125994</v>
      </c>
      <c r="S10" s="1">
        <v>13490.0707</v>
      </c>
      <c r="T10" s="1">
        <v>9480512.8599125985</v>
      </c>
      <c r="U10" s="1">
        <v>744</v>
      </c>
      <c r="V10" s="1">
        <v>0</v>
      </c>
      <c r="W10" s="1">
        <v>744</v>
      </c>
      <c r="X10" s="1">
        <v>0</v>
      </c>
    </row>
    <row r="11" spans="1:24" x14ac:dyDescent="0.25">
      <c r="A11" s="1">
        <v>3</v>
      </c>
      <c r="B11" s="1">
        <v>160</v>
      </c>
      <c r="C11" s="19">
        <v>168.3</v>
      </c>
      <c r="D11" s="19">
        <v>1125</v>
      </c>
      <c r="E11" s="21">
        <v>0</v>
      </c>
      <c r="F11" s="21">
        <v>0.67</v>
      </c>
      <c r="G11" s="21">
        <v>0</v>
      </c>
      <c r="H11" s="21">
        <v>0.63</v>
      </c>
      <c r="I11" s="19">
        <v>11.7</v>
      </c>
      <c r="J11" s="19">
        <v>2.9</v>
      </c>
      <c r="K11" s="1">
        <v>4920.2685256999994</v>
      </c>
      <c r="L11" s="1">
        <v>0</v>
      </c>
      <c r="M11" s="1">
        <v>4920.2685256999994</v>
      </c>
      <c r="N11" s="20">
        <v>142.822</v>
      </c>
      <c r="O11" s="1">
        <v>38307.811220999996</v>
      </c>
      <c r="P11" s="1">
        <v>28</v>
      </c>
      <c r="Q11" s="1">
        <v>38338.927620999995</v>
      </c>
      <c r="R11" s="1">
        <v>7829901.7703885995</v>
      </c>
      <c r="S11" s="1">
        <v>19059.906299999999</v>
      </c>
      <c r="T11" s="1">
        <v>7848961.6766885994</v>
      </c>
      <c r="U11" s="1">
        <v>744</v>
      </c>
      <c r="V11" s="1">
        <v>0</v>
      </c>
      <c r="W11" s="1">
        <v>744</v>
      </c>
      <c r="X11" s="1">
        <v>0</v>
      </c>
    </row>
    <row r="12" spans="1:24" x14ac:dyDescent="0.25">
      <c r="A12" s="1">
        <v>4</v>
      </c>
      <c r="B12" s="1">
        <v>169</v>
      </c>
      <c r="C12" s="19">
        <v>168.3</v>
      </c>
      <c r="D12" s="19">
        <v>1115.5</v>
      </c>
      <c r="E12" s="21">
        <v>0</v>
      </c>
      <c r="F12" s="21">
        <v>0.67</v>
      </c>
      <c r="G12" s="21">
        <v>0</v>
      </c>
      <c r="H12" s="21">
        <v>0.63</v>
      </c>
      <c r="I12" s="19">
        <v>-1</v>
      </c>
      <c r="J12" s="19">
        <v>5.7</v>
      </c>
      <c r="K12" s="1">
        <v>3175.2897075000001</v>
      </c>
      <c r="L12" s="1">
        <v>0</v>
      </c>
      <c r="M12" s="1">
        <v>3175.2897075000001</v>
      </c>
      <c r="N12" s="20">
        <v>92.17</v>
      </c>
      <c r="O12" s="1">
        <v>27532.230794799998</v>
      </c>
      <c r="P12" s="1">
        <v>480</v>
      </c>
      <c r="Q12" s="1">
        <v>28065.654794799997</v>
      </c>
      <c r="R12" s="1">
        <v>10218534.145539301</v>
      </c>
      <c r="S12" s="1">
        <v>19342.176499999998</v>
      </c>
      <c r="T12" s="1">
        <v>10237876.322039301</v>
      </c>
      <c r="U12" s="1">
        <v>744</v>
      </c>
      <c r="V12" s="1">
        <v>0</v>
      </c>
      <c r="W12" s="1">
        <v>744</v>
      </c>
      <c r="X12" s="1">
        <v>0</v>
      </c>
    </row>
    <row r="13" spans="1:24" x14ac:dyDescent="0.25">
      <c r="A13" s="1">
        <v>5</v>
      </c>
      <c r="B13" s="1">
        <v>170</v>
      </c>
      <c r="C13" s="19">
        <v>168.3</v>
      </c>
      <c r="D13" s="19">
        <v>1105.2</v>
      </c>
      <c r="E13" s="21">
        <v>0</v>
      </c>
      <c r="F13" s="21">
        <v>0.67</v>
      </c>
      <c r="G13" s="21">
        <v>0</v>
      </c>
      <c r="H13" s="21">
        <v>0.63</v>
      </c>
      <c r="I13" s="19">
        <v>-1.5</v>
      </c>
      <c r="J13" s="19">
        <v>5.7</v>
      </c>
      <c r="K13" s="1">
        <v>2059.6467471000001</v>
      </c>
      <c r="L13" s="1">
        <v>0</v>
      </c>
      <c r="M13" s="1">
        <v>2059.6467471000001</v>
      </c>
      <c r="N13" s="20">
        <v>59.786000000000001</v>
      </c>
      <c r="O13" s="1">
        <v>15835.497132499999</v>
      </c>
      <c r="P13" s="1">
        <v>11</v>
      </c>
      <c r="Q13" s="1">
        <v>15847.721432499999</v>
      </c>
      <c r="R13" s="1">
        <v>8765810.5233890004</v>
      </c>
      <c r="S13" s="1">
        <v>8641.4687999999987</v>
      </c>
      <c r="T13" s="1">
        <v>8774451.9921889994</v>
      </c>
      <c r="U13" s="1">
        <v>744</v>
      </c>
      <c r="V13" s="1">
        <v>0</v>
      </c>
      <c r="W13" s="1">
        <v>744</v>
      </c>
      <c r="X13" s="1">
        <v>0</v>
      </c>
    </row>
    <row r="14" spans="1:24" x14ac:dyDescent="0.25">
      <c r="A14" s="1">
        <v>6</v>
      </c>
      <c r="B14" s="1">
        <v>171</v>
      </c>
      <c r="C14" s="19">
        <v>168.3</v>
      </c>
      <c r="D14" s="19">
        <v>1154.5999999999999</v>
      </c>
      <c r="E14" s="21">
        <v>0</v>
      </c>
      <c r="F14" s="21">
        <v>0.68</v>
      </c>
      <c r="G14" s="21">
        <v>0</v>
      </c>
      <c r="H14" s="21">
        <v>0.63</v>
      </c>
      <c r="I14" s="19">
        <v>11.6</v>
      </c>
      <c r="J14" s="19">
        <v>5.7</v>
      </c>
      <c r="K14" s="1">
        <v>5549.6054948000001</v>
      </c>
      <c r="L14" s="1">
        <v>0</v>
      </c>
      <c r="M14" s="1">
        <v>5549.6054948000001</v>
      </c>
      <c r="N14" s="20">
        <v>161.09</v>
      </c>
      <c r="O14" s="1">
        <v>40998.750825199997</v>
      </c>
      <c r="P14" s="1">
        <v>22</v>
      </c>
      <c r="Q14" s="1">
        <v>41023.1994252</v>
      </c>
      <c r="R14" s="1">
        <v>9965476.5352798998</v>
      </c>
      <c r="S14" s="1">
        <v>12174.291499999999</v>
      </c>
      <c r="T14" s="1">
        <v>9977650.8267799001</v>
      </c>
      <c r="U14" s="1">
        <v>744</v>
      </c>
      <c r="V14" s="1">
        <v>0</v>
      </c>
      <c r="W14" s="1">
        <v>744</v>
      </c>
      <c r="X14" s="1">
        <v>0</v>
      </c>
    </row>
    <row r="15" spans="1:24" x14ac:dyDescent="0.25">
      <c r="A15" s="1">
        <v>7</v>
      </c>
      <c r="B15" s="1">
        <v>172</v>
      </c>
      <c r="C15" s="19">
        <v>89</v>
      </c>
      <c r="D15" s="19">
        <v>1157.26</v>
      </c>
      <c r="E15" s="21">
        <v>0</v>
      </c>
      <c r="F15" s="21">
        <v>0.67</v>
      </c>
      <c r="G15" s="21">
        <v>0</v>
      </c>
      <c r="H15" s="21">
        <v>0.63</v>
      </c>
      <c r="I15" s="19">
        <v>6.8</v>
      </c>
      <c r="J15" s="19">
        <v>5.7</v>
      </c>
      <c r="K15" s="1">
        <v>1573.3418670999999</v>
      </c>
      <c r="L15" s="1">
        <v>0</v>
      </c>
      <c r="M15" s="1">
        <v>1573.3418670999999</v>
      </c>
      <c r="N15" s="20">
        <v>45.67</v>
      </c>
      <c r="O15" s="1">
        <v>13754.2967219</v>
      </c>
      <c r="P15" s="1">
        <v>8</v>
      </c>
      <c r="Q15" s="1">
        <v>13763.1871219</v>
      </c>
      <c r="R15" s="1">
        <v>8732437.3142411001</v>
      </c>
      <c r="S15" s="1">
        <v>14741.394499999999</v>
      </c>
      <c r="T15" s="1">
        <v>8747178.7087411005</v>
      </c>
      <c r="U15" s="1">
        <v>744</v>
      </c>
      <c r="V15" s="1">
        <v>0</v>
      </c>
      <c r="W15" s="1">
        <v>744</v>
      </c>
      <c r="X15" s="1">
        <v>0</v>
      </c>
    </row>
    <row r="16" spans="1:24" x14ac:dyDescent="0.25">
      <c r="A16" s="1">
        <v>8</v>
      </c>
      <c r="B16" s="1">
        <v>178</v>
      </c>
      <c r="C16" s="19">
        <v>168.3</v>
      </c>
      <c r="D16" s="19">
        <v>1077.43</v>
      </c>
      <c r="E16" s="21">
        <v>0</v>
      </c>
      <c r="F16" s="21">
        <v>0.7</v>
      </c>
      <c r="G16" s="21">
        <v>0</v>
      </c>
      <c r="H16" s="21">
        <v>0.64</v>
      </c>
      <c r="I16" s="19">
        <v>-1</v>
      </c>
      <c r="J16" s="19">
        <v>5</v>
      </c>
      <c r="K16" s="1">
        <v>1332.2653355</v>
      </c>
      <c r="L16" s="1">
        <v>0</v>
      </c>
      <c r="M16" s="1">
        <v>1332.2653355</v>
      </c>
      <c r="N16" s="20">
        <v>41.518000000000001</v>
      </c>
      <c r="O16" s="1">
        <v>9642.1577771000011</v>
      </c>
      <c r="P16" s="1">
        <v>4</v>
      </c>
      <c r="Q16" s="1">
        <v>9646.6029770999994</v>
      </c>
      <c r="R16" s="1">
        <v>9693814.4616882</v>
      </c>
      <c r="S16" s="1">
        <v>7879.1169999999993</v>
      </c>
      <c r="T16" s="1">
        <v>9701693.5786882006</v>
      </c>
      <c r="U16" s="1">
        <v>693</v>
      </c>
      <c r="V16" s="1">
        <v>51</v>
      </c>
      <c r="W16" s="1">
        <v>744</v>
      </c>
      <c r="X16" s="1">
        <v>327</v>
      </c>
    </row>
    <row r="17" spans="1:24" x14ac:dyDescent="0.25">
      <c r="A17" s="1">
        <v>9</v>
      </c>
      <c r="B17" s="1">
        <v>179</v>
      </c>
      <c r="C17" s="19">
        <v>168.3</v>
      </c>
      <c r="D17" s="19">
        <v>1170.2</v>
      </c>
      <c r="E17" s="21">
        <v>0</v>
      </c>
      <c r="F17" s="21">
        <v>0.69</v>
      </c>
      <c r="G17" s="21">
        <v>0</v>
      </c>
      <c r="H17" s="21">
        <v>0.64</v>
      </c>
      <c r="I17" s="19">
        <v>1.5</v>
      </c>
      <c r="J17" s="19">
        <v>5</v>
      </c>
      <c r="K17" s="1">
        <v>4689.5737587000003</v>
      </c>
      <c r="L17" s="1">
        <v>0</v>
      </c>
      <c r="M17" s="1">
        <v>4689.5737587000003</v>
      </c>
      <c r="N17" s="20">
        <v>146.14400000000001</v>
      </c>
      <c r="O17" s="1">
        <v>35780.444975099999</v>
      </c>
      <c r="P17" s="1">
        <v>25</v>
      </c>
      <c r="Q17" s="1">
        <v>35808.2274751</v>
      </c>
      <c r="R17" s="1">
        <v>8478154.4301650003</v>
      </c>
      <c r="S17" s="1">
        <v>7014.5255999999999</v>
      </c>
      <c r="T17" s="1">
        <v>8485168.9557649996</v>
      </c>
      <c r="U17" s="1">
        <v>693</v>
      </c>
      <c r="V17" s="1">
        <v>51</v>
      </c>
      <c r="W17" s="1">
        <v>744</v>
      </c>
      <c r="X17" s="1">
        <v>327</v>
      </c>
    </row>
    <row r="18" spans="1:24" x14ac:dyDescent="0.25">
      <c r="A18" s="1">
        <v>10</v>
      </c>
      <c r="B18" s="1">
        <v>180</v>
      </c>
      <c r="C18" s="19">
        <v>114</v>
      </c>
      <c r="D18" s="19">
        <v>766</v>
      </c>
      <c r="E18" s="21">
        <v>0</v>
      </c>
      <c r="F18" s="21">
        <v>0.7</v>
      </c>
      <c r="G18" s="21">
        <v>0</v>
      </c>
      <c r="H18" s="21">
        <v>0.64</v>
      </c>
      <c r="I18" s="19">
        <v>5.7</v>
      </c>
      <c r="J18" s="19">
        <v>5</v>
      </c>
      <c r="K18" s="1">
        <v>3996.7948951999997</v>
      </c>
      <c r="L18" s="1">
        <v>0</v>
      </c>
      <c r="M18" s="1">
        <v>3996.7948951999997</v>
      </c>
      <c r="N18" s="20">
        <v>124.554</v>
      </c>
      <c r="O18" s="1">
        <v>30528.994602499999</v>
      </c>
      <c r="P18" s="1">
        <v>23</v>
      </c>
      <c r="Q18" s="1">
        <v>30554.554502499999</v>
      </c>
      <c r="R18" s="1">
        <v>4460534.7509089997</v>
      </c>
      <c r="S18" s="1">
        <v>9480.5002999999997</v>
      </c>
      <c r="T18" s="1">
        <v>4470015.2512090001</v>
      </c>
      <c r="U18" s="1">
        <v>693</v>
      </c>
      <c r="V18" s="1">
        <v>51</v>
      </c>
      <c r="W18" s="1">
        <v>744</v>
      </c>
      <c r="X18" s="1">
        <v>327</v>
      </c>
    </row>
    <row r="19" spans="1:24" x14ac:dyDescent="0.25">
      <c r="A19" s="1">
        <v>11</v>
      </c>
      <c r="B19" s="1">
        <v>181</v>
      </c>
      <c r="C19" s="19">
        <v>168</v>
      </c>
      <c r="D19" s="19">
        <v>1072</v>
      </c>
      <c r="E19" s="21">
        <v>0</v>
      </c>
      <c r="F19" s="21">
        <v>0.71</v>
      </c>
      <c r="G19" s="21">
        <v>0</v>
      </c>
      <c r="H19" s="21">
        <v>0.64</v>
      </c>
      <c r="I19" s="19">
        <v>8.5</v>
      </c>
      <c r="J19" s="19">
        <v>5</v>
      </c>
      <c r="K19" s="1">
        <v>2211.5603458000001</v>
      </c>
      <c r="L19" s="1">
        <v>0</v>
      </c>
      <c r="M19" s="1">
        <v>2211.5603458000001</v>
      </c>
      <c r="N19" s="20">
        <v>68.92</v>
      </c>
      <c r="O19" s="1">
        <v>16020.4207864</v>
      </c>
      <c r="P19" s="1">
        <v>21</v>
      </c>
      <c r="Q19" s="1">
        <v>16043.758086399999</v>
      </c>
      <c r="R19" s="1">
        <v>8115736.0806287993</v>
      </c>
      <c r="S19" s="1">
        <v>11424.163999999999</v>
      </c>
      <c r="T19" s="1">
        <v>8127160.2446287991</v>
      </c>
      <c r="U19" s="1">
        <v>693</v>
      </c>
      <c r="V19" s="1">
        <v>51</v>
      </c>
      <c r="W19" s="1">
        <v>744</v>
      </c>
      <c r="X19" s="1">
        <v>327</v>
      </c>
    </row>
    <row r="20" spans="1:24" x14ac:dyDescent="0.25">
      <c r="A20" s="1">
        <v>12</v>
      </c>
      <c r="B20" s="1">
        <v>182</v>
      </c>
      <c r="C20" s="19">
        <v>168.3</v>
      </c>
      <c r="D20" s="19">
        <v>1139.5999999999999</v>
      </c>
      <c r="E20" s="21">
        <v>0</v>
      </c>
      <c r="F20" s="21">
        <v>0.69</v>
      </c>
      <c r="G20" s="21">
        <v>0</v>
      </c>
      <c r="H20" s="21">
        <v>0.64</v>
      </c>
      <c r="I20" s="19">
        <v>10.199999999999999</v>
      </c>
      <c r="J20" s="19">
        <v>5</v>
      </c>
      <c r="K20" s="1">
        <v>5728.7403869999998</v>
      </c>
      <c r="L20" s="1">
        <v>0</v>
      </c>
      <c r="M20" s="1">
        <v>5728.7403869999998</v>
      </c>
      <c r="N20" s="20">
        <v>178.52799999999999</v>
      </c>
      <c r="O20" s="1">
        <v>44996.929288899999</v>
      </c>
      <c r="P20" s="1">
        <v>27</v>
      </c>
      <c r="Q20" s="1">
        <v>45026.934388900001</v>
      </c>
      <c r="R20" s="1">
        <v>10017248.159404499</v>
      </c>
      <c r="S20" s="1">
        <v>7852.4457999999995</v>
      </c>
      <c r="T20" s="1">
        <v>10025100.6052045</v>
      </c>
      <c r="U20" s="1">
        <v>693</v>
      </c>
      <c r="V20" s="1">
        <v>51</v>
      </c>
      <c r="W20" s="1">
        <v>744</v>
      </c>
      <c r="X20" s="1">
        <v>327</v>
      </c>
    </row>
    <row r="21" spans="1:24" x14ac:dyDescent="0.25">
      <c r="A21" s="1">
        <v>13</v>
      </c>
      <c r="B21" s="1">
        <v>188</v>
      </c>
      <c r="C21" s="19">
        <v>168.3</v>
      </c>
      <c r="D21" s="19">
        <v>1136.2</v>
      </c>
      <c r="E21" s="21">
        <v>0</v>
      </c>
      <c r="F21" s="21">
        <v>0.71</v>
      </c>
      <c r="G21" s="21">
        <v>0</v>
      </c>
      <c r="H21" s="21">
        <v>0.64</v>
      </c>
      <c r="I21" s="19">
        <v>3</v>
      </c>
      <c r="J21" s="19">
        <v>-0.5</v>
      </c>
      <c r="K21" s="1">
        <v>4348.1446145</v>
      </c>
      <c r="L21" s="1">
        <v>0</v>
      </c>
      <c r="M21" s="1">
        <v>4348.1446145</v>
      </c>
      <c r="N21" s="20">
        <v>126.215</v>
      </c>
      <c r="O21" s="1">
        <v>34328.663769799998</v>
      </c>
      <c r="P21" s="1">
        <v>24</v>
      </c>
      <c r="Q21" s="1">
        <v>34355.334969799995</v>
      </c>
      <c r="R21" s="1">
        <v>8574572.7929451</v>
      </c>
      <c r="S21" s="1">
        <v>6644.4627</v>
      </c>
      <c r="T21" s="1">
        <v>8581217.2556451</v>
      </c>
      <c r="U21" s="1">
        <v>744</v>
      </c>
      <c r="V21" s="1">
        <v>0</v>
      </c>
      <c r="W21" s="1">
        <v>744</v>
      </c>
      <c r="X21" s="1">
        <v>0</v>
      </c>
    </row>
    <row r="22" spans="1:24" x14ac:dyDescent="0.25">
      <c r="A22" s="1">
        <v>14</v>
      </c>
      <c r="B22" s="1">
        <v>189</v>
      </c>
      <c r="C22" s="19">
        <v>168.3</v>
      </c>
      <c r="D22" s="19">
        <v>1158.7</v>
      </c>
      <c r="E22" s="21">
        <v>0</v>
      </c>
      <c r="F22" s="21">
        <v>0.72</v>
      </c>
      <c r="G22" s="21">
        <v>0</v>
      </c>
      <c r="H22" s="21">
        <v>0.64</v>
      </c>
      <c r="I22" s="19">
        <v>7.5</v>
      </c>
      <c r="J22" s="19">
        <v>-0.5</v>
      </c>
      <c r="K22" s="1">
        <v>2535.0331045999997</v>
      </c>
      <c r="L22" s="1">
        <v>0</v>
      </c>
      <c r="M22" s="1">
        <v>2535.0331045999997</v>
      </c>
      <c r="N22" s="20">
        <v>88.018000000000001</v>
      </c>
      <c r="O22" s="1">
        <v>22122.904698999999</v>
      </c>
      <c r="P22" s="1">
        <v>0</v>
      </c>
      <c r="Q22" s="1">
        <v>22122.904698999999</v>
      </c>
      <c r="R22" s="1">
        <v>8340611.7385483989</v>
      </c>
      <c r="S22" s="1">
        <v>9117.1052</v>
      </c>
      <c r="T22" s="1">
        <v>8349728.8437483991</v>
      </c>
      <c r="U22" s="1">
        <v>622</v>
      </c>
      <c r="V22" s="1">
        <v>122</v>
      </c>
      <c r="W22" s="1">
        <v>744</v>
      </c>
      <c r="X22" s="1">
        <v>314</v>
      </c>
    </row>
    <row r="23" spans="1:24" x14ac:dyDescent="0.25">
      <c r="A23" s="1">
        <v>15</v>
      </c>
      <c r="B23" s="1">
        <v>190</v>
      </c>
      <c r="C23" s="19">
        <v>168</v>
      </c>
      <c r="D23" s="19">
        <v>1130</v>
      </c>
      <c r="E23" s="21">
        <v>0</v>
      </c>
      <c r="F23" s="21">
        <v>0.7</v>
      </c>
      <c r="G23" s="21">
        <v>0</v>
      </c>
      <c r="H23" s="21">
        <v>0.64</v>
      </c>
      <c r="I23" s="19">
        <v>3.1</v>
      </c>
      <c r="J23" s="19">
        <v>-0.5</v>
      </c>
      <c r="K23" s="1">
        <v>2228.2854107999997</v>
      </c>
      <c r="L23" s="1">
        <v>2</v>
      </c>
      <c r="M23" s="1">
        <v>2230.5080107999997</v>
      </c>
      <c r="N23" s="20">
        <v>64.768000000000001</v>
      </c>
      <c r="O23" s="1">
        <v>16597.524432899998</v>
      </c>
      <c r="P23" s="1">
        <v>8</v>
      </c>
      <c r="Q23" s="1">
        <v>16606.414832899998</v>
      </c>
      <c r="R23" s="1">
        <v>7313163.0752971992</v>
      </c>
      <c r="S23" s="1">
        <v>7626.8518999999997</v>
      </c>
      <c r="T23" s="1">
        <v>7320789.9271971993</v>
      </c>
      <c r="U23" s="1">
        <v>743</v>
      </c>
      <c r="V23" s="1">
        <v>1</v>
      </c>
      <c r="W23" s="1">
        <v>744</v>
      </c>
      <c r="X23" s="1">
        <v>341</v>
      </c>
    </row>
    <row r="24" spans="1:24" x14ac:dyDescent="0.25">
      <c r="A24" s="1">
        <v>16</v>
      </c>
      <c r="B24" s="1">
        <v>191</v>
      </c>
      <c r="C24" s="19">
        <v>168.3</v>
      </c>
      <c r="D24" s="19">
        <v>1209.67</v>
      </c>
      <c r="E24" s="21">
        <v>0</v>
      </c>
      <c r="F24" s="21">
        <v>0.72</v>
      </c>
      <c r="G24" s="21">
        <v>0</v>
      </c>
      <c r="H24" s="21">
        <v>0.64</v>
      </c>
      <c r="I24" s="19">
        <v>8</v>
      </c>
      <c r="J24" s="19">
        <v>-0.5</v>
      </c>
      <c r="K24" s="1">
        <v>4119.2946055000002</v>
      </c>
      <c r="L24" s="1">
        <v>0</v>
      </c>
      <c r="M24" s="1">
        <v>4119.2946055000002</v>
      </c>
      <c r="N24" s="20">
        <v>119.572</v>
      </c>
      <c r="O24" s="1">
        <v>29230.5283452</v>
      </c>
      <c r="P24" s="1">
        <v>20</v>
      </c>
      <c r="Q24" s="1">
        <v>29252.754345199999</v>
      </c>
      <c r="R24" s="1">
        <v>9555282.2641063984</v>
      </c>
      <c r="S24" s="1">
        <v>5323.1269999999995</v>
      </c>
      <c r="T24" s="1">
        <v>9560605.3911063988</v>
      </c>
      <c r="U24" s="1">
        <v>744</v>
      </c>
      <c r="V24" s="1">
        <v>0</v>
      </c>
      <c r="W24" s="1">
        <v>744</v>
      </c>
      <c r="X24" s="1">
        <v>0</v>
      </c>
    </row>
    <row r="25" spans="1:24" x14ac:dyDescent="0.25">
      <c r="A25" s="1">
        <v>17</v>
      </c>
      <c r="B25" s="1">
        <v>192</v>
      </c>
      <c r="C25" s="19">
        <v>168.3</v>
      </c>
      <c r="D25" s="19">
        <v>1083.8</v>
      </c>
      <c r="E25" s="21">
        <v>0</v>
      </c>
      <c r="F25" s="21">
        <v>0.7</v>
      </c>
      <c r="G25" s="21">
        <v>0</v>
      </c>
      <c r="H25" s="21">
        <v>0.64</v>
      </c>
      <c r="I25" s="19">
        <v>1.5</v>
      </c>
      <c r="J25" s="19">
        <v>-0.5</v>
      </c>
      <c r="K25" s="1">
        <v>1626.1708464999999</v>
      </c>
      <c r="L25" s="1">
        <v>4</v>
      </c>
      <c r="M25" s="1">
        <v>1630.6160465</v>
      </c>
      <c r="N25" s="20">
        <v>47.331000000000003</v>
      </c>
      <c r="O25" s="1">
        <v>7405.2953528999997</v>
      </c>
      <c r="P25" s="1">
        <v>9</v>
      </c>
      <c r="Q25" s="1">
        <v>7415.2970528999995</v>
      </c>
      <c r="R25" s="1">
        <v>7964191.8313741991</v>
      </c>
      <c r="S25" s="1">
        <v>4603.0046000000002</v>
      </c>
      <c r="T25" s="1">
        <v>7968794.8359741997</v>
      </c>
      <c r="U25" s="1">
        <v>742</v>
      </c>
      <c r="V25" s="1">
        <v>2</v>
      </c>
      <c r="W25" s="1">
        <v>744</v>
      </c>
      <c r="X25" s="1">
        <v>341</v>
      </c>
    </row>
    <row r="26" spans="1:24" x14ac:dyDescent="0.25">
      <c r="A26" s="1">
        <v>18</v>
      </c>
      <c r="B26" s="1">
        <v>198</v>
      </c>
      <c r="C26" s="19">
        <v>168.3</v>
      </c>
      <c r="D26" s="19">
        <v>1149.3</v>
      </c>
      <c r="E26" s="21">
        <v>0</v>
      </c>
      <c r="F26" s="21">
        <v>0.71</v>
      </c>
      <c r="G26" s="21">
        <v>0</v>
      </c>
      <c r="H26" s="21">
        <v>0.64</v>
      </c>
      <c r="I26" s="19">
        <v>-2.5</v>
      </c>
      <c r="J26" s="19">
        <v>1</v>
      </c>
      <c r="K26" s="1">
        <v>2491.5090400999998</v>
      </c>
      <c r="L26" s="1">
        <v>0</v>
      </c>
      <c r="M26" s="1">
        <v>2491.5090400999998</v>
      </c>
      <c r="N26" s="20">
        <v>119.572</v>
      </c>
      <c r="O26" s="1">
        <v>29514.414375399996</v>
      </c>
      <c r="P26" s="1">
        <v>18</v>
      </c>
      <c r="Q26" s="1">
        <v>29534.417775399997</v>
      </c>
      <c r="R26" s="1">
        <v>6936186.0434279004</v>
      </c>
      <c r="S26" s="1">
        <v>9547.1782999999996</v>
      </c>
      <c r="T26" s="1">
        <v>6945733.2217279002</v>
      </c>
      <c r="U26" s="1">
        <v>450</v>
      </c>
      <c r="V26" s="1">
        <v>294</v>
      </c>
      <c r="W26" s="1">
        <v>744</v>
      </c>
      <c r="X26" s="1">
        <v>327</v>
      </c>
    </row>
    <row r="27" spans="1:24" x14ac:dyDescent="0.25">
      <c r="A27" s="1">
        <v>19</v>
      </c>
      <c r="B27" s="1">
        <v>199</v>
      </c>
      <c r="C27" s="19">
        <v>168.3</v>
      </c>
      <c r="D27" s="19">
        <v>1187.9000000000001</v>
      </c>
      <c r="E27" s="21">
        <v>0</v>
      </c>
      <c r="F27" s="21">
        <v>0.71</v>
      </c>
      <c r="G27" s="21">
        <v>0</v>
      </c>
      <c r="H27" s="21">
        <v>0.64</v>
      </c>
      <c r="I27" s="19">
        <v>9.6</v>
      </c>
      <c r="J27" s="19">
        <v>1</v>
      </c>
      <c r="K27" s="1">
        <v>3776.0207032999997</v>
      </c>
      <c r="L27" s="1">
        <v>0</v>
      </c>
      <c r="M27" s="1">
        <v>3776.0207032999997</v>
      </c>
      <c r="N27" s="20">
        <v>109.608</v>
      </c>
      <c r="O27" s="1">
        <v>32081.944114599999</v>
      </c>
      <c r="P27" s="1">
        <v>3</v>
      </c>
      <c r="Q27" s="1">
        <v>32085.2780146</v>
      </c>
      <c r="R27" s="1">
        <v>9505745.1597856004</v>
      </c>
      <c r="S27" s="1">
        <v>5748.7548999999999</v>
      </c>
      <c r="T27" s="1">
        <v>9511493.9146855995</v>
      </c>
      <c r="U27" s="1">
        <v>744</v>
      </c>
      <c r="V27" s="1">
        <v>0</v>
      </c>
      <c r="W27" s="1">
        <v>744</v>
      </c>
      <c r="X27" s="1">
        <v>0</v>
      </c>
    </row>
    <row r="28" spans="1:24" x14ac:dyDescent="0.25">
      <c r="A28" s="1">
        <v>20</v>
      </c>
      <c r="B28" s="1">
        <v>201</v>
      </c>
      <c r="C28" s="19">
        <v>168.3</v>
      </c>
      <c r="D28" s="19">
        <v>1150.5999999999999</v>
      </c>
      <c r="E28" s="21">
        <v>0</v>
      </c>
      <c r="F28" s="21">
        <v>0.7</v>
      </c>
      <c r="G28" s="21">
        <v>0</v>
      </c>
      <c r="H28" s="21">
        <v>0.64</v>
      </c>
      <c r="I28" s="19">
        <v>5.2</v>
      </c>
      <c r="J28" s="19">
        <v>1</v>
      </c>
      <c r="K28" s="1">
        <v>3265.4917058999999</v>
      </c>
      <c r="L28" s="1">
        <v>0</v>
      </c>
      <c r="M28" s="1">
        <v>3265.4917058999999</v>
      </c>
      <c r="N28" s="20">
        <v>123.724</v>
      </c>
      <c r="O28" s="1">
        <v>28970.416355899997</v>
      </c>
      <c r="P28" s="1">
        <v>22</v>
      </c>
      <c r="Q28" s="1">
        <v>28994.864955899997</v>
      </c>
      <c r="R28" s="1">
        <v>8505822.9063398</v>
      </c>
      <c r="S28" s="1">
        <v>6683.3581999999997</v>
      </c>
      <c r="T28" s="1">
        <v>8512506.2645398006</v>
      </c>
      <c r="U28" s="1">
        <v>570</v>
      </c>
      <c r="V28" s="1">
        <v>174</v>
      </c>
      <c r="W28" s="1">
        <v>744</v>
      </c>
      <c r="X28" s="1">
        <v>314</v>
      </c>
    </row>
    <row r="29" spans="1:24" x14ac:dyDescent="0.25">
      <c r="A29" s="1">
        <v>21</v>
      </c>
      <c r="B29" s="1">
        <v>208</v>
      </c>
      <c r="C29" s="19">
        <v>168</v>
      </c>
      <c r="D29" s="19">
        <v>1108.93</v>
      </c>
      <c r="E29" s="21">
        <v>0</v>
      </c>
      <c r="F29" s="21">
        <v>0.68</v>
      </c>
      <c r="G29" s="21">
        <v>0</v>
      </c>
      <c r="H29" s="21">
        <v>0.61</v>
      </c>
      <c r="I29" s="19">
        <v>10.199999999999999</v>
      </c>
      <c r="J29" s="19">
        <v>6.6</v>
      </c>
      <c r="K29" s="1">
        <v>2402.9228718999998</v>
      </c>
      <c r="L29" s="1">
        <v>0</v>
      </c>
      <c r="M29" s="1">
        <v>2402.9228718999998</v>
      </c>
      <c r="N29" s="20">
        <v>69.75</v>
      </c>
      <c r="O29" s="1">
        <v>23694.696302599998</v>
      </c>
      <c r="P29" s="1">
        <v>3</v>
      </c>
      <c r="Q29" s="1">
        <v>23698.030202599999</v>
      </c>
      <c r="R29" s="1">
        <v>9567618.1497393996</v>
      </c>
      <c r="S29" s="1">
        <v>7804.6598999999997</v>
      </c>
      <c r="T29" s="1">
        <v>9575422.8096393999</v>
      </c>
      <c r="U29" s="1">
        <v>744</v>
      </c>
      <c r="V29" s="1">
        <v>0</v>
      </c>
      <c r="W29" s="1">
        <v>744</v>
      </c>
      <c r="X29" s="1">
        <v>0</v>
      </c>
    </row>
    <row r="30" spans="1:24" x14ac:dyDescent="0.25">
      <c r="A30" s="1">
        <v>22</v>
      </c>
      <c r="B30" s="1">
        <v>209</v>
      </c>
      <c r="C30" s="19">
        <v>114</v>
      </c>
      <c r="D30" s="19">
        <v>1197.0999999999999</v>
      </c>
      <c r="E30" s="21">
        <v>0</v>
      </c>
      <c r="F30" s="21">
        <v>0.68</v>
      </c>
      <c r="G30" s="21">
        <v>0</v>
      </c>
      <c r="H30" s="21">
        <v>0.61</v>
      </c>
      <c r="I30" s="19">
        <v>12.1</v>
      </c>
      <c r="J30" s="19">
        <v>6.6</v>
      </c>
      <c r="K30" s="1">
        <v>2917.8337251999997</v>
      </c>
      <c r="L30" s="1">
        <v>0</v>
      </c>
      <c r="M30" s="1">
        <v>2917.8337251999997</v>
      </c>
      <c r="N30" s="20">
        <v>84.697000000000003</v>
      </c>
      <c r="O30" s="1">
        <v>21534.602482400001</v>
      </c>
      <c r="P30" s="1">
        <v>3</v>
      </c>
      <c r="Q30" s="1">
        <v>21537.936382399999</v>
      </c>
      <c r="R30" s="1">
        <v>8404424.7671415992</v>
      </c>
      <c r="S30" s="1">
        <v>8288.0753999999997</v>
      </c>
      <c r="T30" s="1">
        <v>8412712.8425415996</v>
      </c>
      <c r="U30" s="1">
        <v>744</v>
      </c>
      <c r="V30" s="1">
        <v>0</v>
      </c>
      <c r="W30" s="1">
        <v>744</v>
      </c>
      <c r="X30" s="1">
        <v>0</v>
      </c>
    </row>
    <row r="31" spans="1:24" x14ac:dyDescent="0.25">
      <c r="A31" s="1">
        <v>23</v>
      </c>
      <c r="B31" s="1">
        <v>210</v>
      </c>
      <c r="C31" s="19">
        <v>168.3</v>
      </c>
      <c r="D31" s="19">
        <v>931.07</v>
      </c>
      <c r="E31" s="21">
        <v>0</v>
      </c>
      <c r="F31" s="21">
        <v>0.86</v>
      </c>
      <c r="G31" s="21">
        <v>0</v>
      </c>
      <c r="H31" s="21">
        <v>0.61</v>
      </c>
      <c r="I31" s="19">
        <v>14.3</v>
      </c>
      <c r="J31" s="19">
        <v>6.6</v>
      </c>
      <c r="K31" s="1">
        <v>3547.1695829999999</v>
      </c>
      <c r="L31" s="1">
        <v>0</v>
      </c>
      <c r="M31" s="1">
        <v>3547.1695829999999</v>
      </c>
      <c r="N31" s="20">
        <v>102.965</v>
      </c>
      <c r="O31" s="1">
        <v>26512.567481499998</v>
      </c>
      <c r="P31" s="1">
        <v>3</v>
      </c>
      <c r="Q31" s="1">
        <v>26515.9013815</v>
      </c>
      <c r="R31" s="1">
        <v>8885397.4852725994</v>
      </c>
      <c r="S31" s="1">
        <v>8144.7176999999992</v>
      </c>
      <c r="T31" s="1">
        <v>8893542.2029726002</v>
      </c>
      <c r="U31" s="1">
        <v>744</v>
      </c>
      <c r="V31" s="1">
        <v>0</v>
      </c>
      <c r="W31" s="1">
        <v>744</v>
      </c>
      <c r="X31" s="1">
        <v>0</v>
      </c>
    </row>
    <row r="32" spans="1:24" x14ac:dyDescent="0.25">
      <c r="B32" s="1">
        <v>-153</v>
      </c>
      <c r="C32" s="19">
        <v>139</v>
      </c>
      <c r="D32" s="19">
        <v>969.93</v>
      </c>
      <c r="E32" s="21"/>
      <c r="F32" s="21"/>
      <c r="G32" s="21"/>
      <c r="H32" s="21"/>
      <c r="I32" s="19"/>
      <c r="J32" s="19"/>
      <c r="K32" s="1">
        <v>0</v>
      </c>
      <c r="M32" s="1">
        <v>0</v>
      </c>
      <c r="N32" s="20"/>
      <c r="O32" s="1">
        <v>0</v>
      </c>
      <c r="Q32" s="1">
        <v>0</v>
      </c>
      <c r="R32" s="1">
        <v>0</v>
      </c>
      <c r="S32" s="1">
        <v>0</v>
      </c>
      <c r="T32" s="1">
        <v>0</v>
      </c>
    </row>
    <row r="33" spans="1:24" x14ac:dyDescent="0.25">
      <c r="A33" s="1">
        <v>24</v>
      </c>
      <c r="B33" s="1">
        <v>211</v>
      </c>
      <c r="C33" s="19">
        <v>168.3</v>
      </c>
      <c r="D33" s="19">
        <v>1189.0999999999999</v>
      </c>
      <c r="E33" s="21">
        <v>0</v>
      </c>
      <c r="F33" s="21">
        <v>0.67</v>
      </c>
      <c r="G33" s="21">
        <v>0</v>
      </c>
      <c r="H33" s="21">
        <v>0.61</v>
      </c>
      <c r="I33" s="19">
        <v>12.3</v>
      </c>
      <c r="J33" s="19">
        <v>6.6</v>
      </c>
      <c r="K33" s="1">
        <v>5549.6054948000001</v>
      </c>
      <c r="L33" s="1">
        <v>0</v>
      </c>
      <c r="M33" s="1">
        <v>5549.6054948000001</v>
      </c>
      <c r="N33" s="20">
        <v>161.09</v>
      </c>
      <c r="O33" s="1">
        <v>37805.9281376</v>
      </c>
      <c r="P33" s="1">
        <v>23</v>
      </c>
      <c r="Q33" s="1">
        <v>37831.4880376</v>
      </c>
      <c r="R33" s="1">
        <v>7488638.8033227995</v>
      </c>
      <c r="S33" s="1">
        <v>9578.2947000000004</v>
      </c>
      <c r="T33" s="1">
        <v>7498217.098022799</v>
      </c>
      <c r="U33" s="1">
        <v>744</v>
      </c>
      <c r="V33" s="1">
        <v>0</v>
      </c>
      <c r="W33" s="1">
        <v>744</v>
      </c>
      <c r="X33" s="1">
        <v>0</v>
      </c>
    </row>
    <row r="34" spans="1:24" x14ac:dyDescent="0.25">
      <c r="A34" s="1">
        <v>25</v>
      </c>
      <c r="B34" s="1">
        <v>212</v>
      </c>
      <c r="C34" s="19">
        <v>168.3</v>
      </c>
      <c r="D34" s="19">
        <v>1155.5999999999999</v>
      </c>
      <c r="E34" s="21">
        <v>0</v>
      </c>
      <c r="F34" s="21">
        <v>0.67</v>
      </c>
      <c r="G34" s="21">
        <v>0</v>
      </c>
      <c r="H34" s="21">
        <v>0.61</v>
      </c>
      <c r="I34" s="19">
        <v>14.1</v>
      </c>
      <c r="J34" s="19">
        <v>6.6</v>
      </c>
      <c r="K34" s="1">
        <v>5892.8860648</v>
      </c>
      <c r="L34" s="1">
        <v>0</v>
      </c>
      <c r="M34" s="1">
        <v>5892.8860648</v>
      </c>
      <c r="N34" s="20">
        <v>171.05500000000001</v>
      </c>
      <c r="O34" s="1">
        <v>45650.916003300001</v>
      </c>
      <c r="P34" s="1">
        <v>0</v>
      </c>
      <c r="Q34" s="1">
        <v>45650.916003300001</v>
      </c>
      <c r="R34" s="1">
        <v>10765794.521767899</v>
      </c>
      <c r="S34" s="1">
        <v>8728.1502</v>
      </c>
      <c r="T34" s="1">
        <v>10774522.671967899</v>
      </c>
      <c r="U34" s="1">
        <v>744</v>
      </c>
      <c r="V34" s="1">
        <v>0</v>
      </c>
      <c r="W34" s="1">
        <v>744</v>
      </c>
      <c r="X34" s="1">
        <v>0</v>
      </c>
    </row>
    <row r="35" spans="1:24" x14ac:dyDescent="0.25">
      <c r="A35" s="1">
        <v>26</v>
      </c>
      <c r="B35" s="1">
        <v>217</v>
      </c>
      <c r="C35" s="19">
        <v>89</v>
      </c>
      <c r="D35" s="19">
        <v>1145</v>
      </c>
      <c r="E35" s="21">
        <v>0</v>
      </c>
      <c r="F35" s="21">
        <v>0.66</v>
      </c>
      <c r="G35" s="21">
        <v>0</v>
      </c>
      <c r="H35" s="21">
        <v>0.65</v>
      </c>
      <c r="I35" s="19">
        <v>2.5</v>
      </c>
      <c r="J35" s="19">
        <v>5</v>
      </c>
      <c r="K35" s="1">
        <v>1569.1122593</v>
      </c>
      <c r="L35" s="1">
        <v>4</v>
      </c>
      <c r="M35" s="1">
        <v>1573.5574592999999</v>
      </c>
      <c r="N35" s="20">
        <v>45.67</v>
      </c>
      <c r="O35" s="1">
        <v>9477.3475419000006</v>
      </c>
      <c r="P35" s="1">
        <v>9</v>
      </c>
      <c r="Q35" s="1">
        <v>9487.3492418999995</v>
      </c>
      <c r="R35" s="1">
        <v>8670753.0652566999</v>
      </c>
      <c r="S35" s="1">
        <v>6878.9470000000001</v>
      </c>
      <c r="T35" s="1">
        <v>8677632.0122567005</v>
      </c>
      <c r="U35" s="1">
        <v>742</v>
      </c>
      <c r="V35" s="1">
        <v>2</v>
      </c>
      <c r="W35" s="1">
        <v>744</v>
      </c>
      <c r="X35" s="1">
        <v>341</v>
      </c>
    </row>
    <row r="36" spans="1:24" x14ac:dyDescent="0.25">
      <c r="A36" s="1">
        <v>27</v>
      </c>
      <c r="B36" s="1">
        <v>218</v>
      </c>
      <c r="C36" s="19">
        <v>114</v>
      </c>
      <c r="D36" s="19">
        <v>1163.9000000000001</v>
      </c>
      <c r="E36" s="21">
        <v>0</v>
      </c>
      <c r="F36" s="21">
        <v>0.66</v>
      </c>
      <c r="G36" s="21">
        <v>0</v>
      </c>
      <c r="H36" s="21">
        <v>0.65</v>
      </c>
      <c r="I36" s="19">
        <v>4.2</v>
      </c>
      <c r="J36" s="19">
        <v>5</v>
      </c>
      <c r="K36" s="1">
        <v>1430.3097779999998</v>
      </c>
      <c r="L36" s="1">
        <v>0</v>
      </c>
      <c r="M36" s="1">
        <v>1430.3097779999998</v>
      </c>
      <c r="N36" s="20">
        <v>41.518000000000001</v>
      </c>
      <c r="O36" s="1">
        <v>11883.814349499999</v>
      </c>
      <c r="P36" s="1">
        <v>7</v>
      </c>
      <c r="Q36" s="1">
        <v>11891.5934495</v>
      </c>
      <c r="R36" s="1">
        <v>9210024.5547164995</v>
      </c>
      <c r="S36" s="1">
        <v>6815.6028999999999</v>
      </c>
      <c r="T36" s="1">
        <v>9216840.1576164998</v>
      </c>
      <c r="U36" s="1">
        <v>744</v>
      </c>
      <c r="V36" s="1">
        <v>0</v>
      </c>
      <c r="W36" s="1">
        <v>744</v>
      </c>
      <c r="X36" s="1">
        <v>0</v>
      </c>
    </row>
    <row r="37" spans="1:24" x14ac:dyDescent="0.25">
      <c r="A37" s="1">
        <v>28</v>
      </c>
      <c r="B37" s="1">
        <v>219</v>
      </c>
      <c r="C37" s="19">
        <v>101.6</v>
      </c>
      <c r="D37" s="19">
        <v>1121</v>
      </c>
      <c r="E37" s="21">
        <v>0</v>
      </c>
      <c r="F37" s="21">
        <v>0.68</v>
      </c>
      <c r="G37" s="21">
        <v>0</v>
      </c>
      <c r="H37" s="21">
        <v>0.65</v>
      </c>
      <c r="I37" s="19">
        <v>5.9</v>
      </c>
      <c r="J37" s="19">
        <v>5</v>
      </c>
      <c r="K37" s="1">
        <v>2202.6777249000002</v>
      </c>
      <c r="L37" s="1">
        <v>0</v>
      </c>
      <c r="M37" s="1">
        <v>2202.6777249000002</v>
      </c>
      <c r="N37" s="20">
        <v>63.938000000000002</v>
      </c>
      <c r="O37" s="1">
        <v>13667.998720399999</v>
      </c>
      <c r="P37" s="1">
        <v>6</v>
      </c>
      <c r="Q37" s="1">
        <v>13674.6665204</v>
      </c>
      <c r="R37" s="1">
        <v>6578534.8975118995</v>
      </c>
      <c r="S37" s="1">
        <v>6773.3734999999997</v>
      </c>
      <c r="T37" s="1">
        <v>6585308.2710119002</v>
      </c>
      <c r="U37" s="1">
        <v>744</v>
      </c>
      <c r="V37" s="1">
        <v>0</v>
      </c>
      <c r="W37" s="1">
        <v>744</v>
      </c>
      <c r="X37" s="1">
        <v>0</v>
      </c>
    </row>
    <row r="38" spans="1:24" x14ac:dyDescent="0.25">
      <c r="A38" s="1">
        <v>29</v>
      </c>
      <c r="B38" s="1">
        <v>220</v>
      </c>
      <c r="C38" s="19">
        <v>168.3</v>
      </c>
      <c r="D38" s="19">
        <v>668.7</v>
      </c>
      <c r="E38" s="21">
        <v>0</v>
      </c>
      <c r="F38" s="21">
        <v>0.67</v>
      </c>
      <c r="G38" s="21">
        <v>0</v>
      </c>
      <c r="H38" s="21">
        <v>0.65</v>
      </c>
      <c r="I38" s="19">
        <v>1.5</v>
      </c>
      <c r="J38" s="19">
        <v>5</v>
      </c>
      <c r="K38" s="1">
        <v>1687.7657603</v>
      </c>
      <c r="L38" s="1">
        <v>0</v>
      </c>
      <c r="M38" s="1">
        <v>1687.7657603</v>
      </c>
      <c r="N38" s="20">
        <v>48.991</v>
      </c>
      <c r="O38" s="1">
        <v>6967.5142760999997</v>
      </c>
      <c r="P38" s="1">
        <v>2</v>
      </c>
      <c r="Q38" s="1">
        <v>6969.7368760999998</v>
      </c>
      <c r="R38" s="1">
        <v>10115338.099637799</v>
      </c>
      <c r="S38" s="1">
        <v>6106.5934999999999</v>
      </c>
      <c r="T38" s="1">
        <v>10121444.693137798</v>
      </c>
      <c r="U38" s="1">
        <v>744</v>
      </c>
      <c r="V38" s="1">
        <v>0</v>
      </c>
      <c r="W38" s="1">
        <v>744</v>
      </c>
      <c r="X38" s="1">
        <v>0</v>
      </c>
    </row>
    <row r="39" spans="1:24" x14ac:dyDescent="0.25">
      <c r="A39" s="1">
        <v>30</v>
      </c>
      <c r="B39" s="1">
        <v>222</v>
      </c>
      <c r="C39" s="19">
        <v>168.3</v>
      </c>
      <c r="D39" s="19">
        <v>1112.4000000000001</v>
      </c>
      <c r="E39" s="21">
        <v>0</v>
      </c>
      <c r="F39" s="21">
        <v>0.68</v>
      </c>
      <c r="G39" s="21">
        <v>0</v>
      </c>
      <c r="H39" s="21">
        <v>0.65</v>
      </c>
      <c r="I39" s="19">
        <v>11.6</v>
      </c>
      <c r="J39" s="19">
        <v>5</v>
      </c>
      <c r="K39" s="1">
        <v>3804.6266765999999</v>
      </c>
      <c r="L39" s="1">
        <v>0</v>
      </c>
      <c r="M39" s="1">
        <v>3804.6266765999999</v>
      </c>
      <c r="N39" s="20">
        <v>110.438</v>
      </c>
      <c r="O39" s="1">
        <v>33089.554268100001</v>
      </c>
      <c r="P39" s="1">
        <v>6</v>
      </c>
      <c r="Q39" s="1">
        <v>33096.222068099996</v>
      </c>
      <c r="R39" s="1">
        <v>9305523.7557101008</v>
      </c>
      <c r="S39" s="1">
        <v>13195.5762</v>
      </c>
      <c r="T39" s="1">
        <v>9318719.3319100998</v>
      </c>
      <c r="U39" s="1">
        <v>744</v>
      </c>
      <c r="V39" s="1">
        <v>0</v>
      </c>
      <c r="W39" s="1">
        <v>744</v>
      </c>
      <c r="X39" s="1">
        <v>0</v>
      </c>
    </row>
    <row r="40" spans="1:24" x14ac:dyDescent="0.25">
      <c r="A40" s="1">
        <v>31</v>
      </c>
      <c r="B40" s="1">
        <v>230</v>
      </c>
      <c r="C40" s="19">
        <v>168</v>
      </c>
      <c r="D40" s="19">
        <v>1139.5</v>
      </c>
      <c r="E40" s="21">
        <v>0</v>
      </c>
      <c r="F40" s="21">
        <v>0.67</v>
      </c>
      <c r="G40" s="21">
        <v>0</v>
      </c>
      <c r="H40" s="21">
        <v>0.65</v>
      </c>
      <c r="I40" s="19">
        <v>1.6</v>
      </c>
      <c r="J40" s="19">
        <v>-2.9</v>
      </c>
      <c r="K40" s="1">
        <v>972.61087129999999</v>
      </c>
      <c r="L40" s="1">
        <v>0</v>
      </c>
      <c r="M40" s="1">
        <v>972.61087129999999</v>
      </c>
      <c r="N40" s="20">
        <v>28.231999999999999</v>
      </c>
      <c r="O40" s="1">
        <v>7171.0010851999996</v>
      </c>
      <c r="P40" s="1">
        <v>0</v>
      </c>
      <c r="Q40" s="1">
        <v>7171.0010851999996</v>
      </c>
      <c r="R40" s="1">
        <v>10586025.765162598</v>
      </c>
      <c r="S40" s="1">
        <v>3895.1064999999999</v>
      </c>
      <c r="T40" s="1">
        <v>10589920.871662598</v>
      </c>
      <c r="U40" s="1">
        <v>744</v>
      </c>
      <c r="V40" s="1">
        <v>0</v>
      </c>
      <c r="W40" s="1">
        <v>744</v>
      </c>
      <c r="X40" s="1">
        <v>0</v>
      </c>
    </row>
    <row r="41" spans="1:24" x14ac:dyDescent="0.25">
      <c r="A41" s="1">
        <v>32</v>
      </c>
      <c r="B41" s="1">
        <v>238</v>
      </c>
      <c r="C41" s="19">
        <v>168</v>
      </c>
      <c r="D41" s="19">
        <v>1166.8699999999999</v>
      </c>
      <c r="E41" s="21">
        <v>0</v>
      </c>
      <c r="F41" s="21">
        <v>0.66</v>
      </c>
      <c r="G41" s="21">
        <v>0.68</v>
      </c>
      <c r="H41" s="21">
        <v>0.65</v>
      </c>
      <c r="I41" s="19">
        <v>0.6</v>
      </c>
      <c r="J41" s="19">
        <v>-0.8</v>
      </c>
      <c r="K41" s="1">
        <v>829.57989350000003</v>
      </c>
      <c r="L41" s="1">
        <v>0</v>
      </c>
      <c r="M41" s="1">
        <v>829.57989350000003</v>
      </c>
      <c r="N41" s="20">
        <v>24.08</v>
      </c>
      <c r="O41" s="1">
        <v>7008.0211610999995</v>
      </c>
      <c r="P41" s="1">
        <v>8</v>
      </c>
      <c r="Q41" s="1">
        <v>7016.9115610999997</v>
      </c>
      <c r="R41" s="1">
        <v>4346743.3485474996</v>
      </c>
      <c r="S41" s="1">
        <v>6986.7430999999997</v>
      </c>
      <c r="T41" s="1">
        <v>4353730.0916475002</v>
      </c>
      <c r="U41" s="1">
        <v>744</v>
      </c>
      <c r="V41" s="1">
        <v>0</v>
      </c>
      <c r="W41" s="1">
        <v>744</v>
      </c>
      <c r="X41" s="1">
        <v>0</v>
      </c>
    </row>
    <row r="42" spans="1:24" x14ac:dyDescent="0.25">
      <c r="A42" s="1">
        <v>33</v>
      </c>
      <c r="B42" s="1">
        <v>239</v>
      </c>
      <c r="C42" s="19">
        <v>168.3</v>
      </c>
      <c r="D42" s="19">
        <v>1145</v>
      </c>
      <c r="E42" s="21">
        <v>0</v>
      </c>
      <c r="F42" s="21">
        <v>0.68</v>
      </c>
      <c r="G42" s="21">
        <v>0.7</v>
      </c>
      <c r="H42" s="21">
        <v>0.65</v>
      </c>
      <c r="I42" s="19">
        <v>-1.5</v>
      </c>
      <c r="J42" s="19">
        <v>-0.8</v>
      </c>
      <c r="K42" s="1">
        <v>2231.2848094999999</v>
      </c>
      <c r="L42" s="1">
        <v>0</v>
      </c>
      <c r="M42" s="1">
        <v>2231.2848094999999</v>
      </c>
      <c r="N42" s="20">
        <v>64.768000000000001</v>
      </c>
      <c r="O42" s="1">
        <v>14012.322801099999</v>
      </c>
      <c r="P42" s="1">
        <v>29</v>
      </c>
      <c r="Q42" s="1">
        <v>14044.550501099999</v>
      </c>
      <c r="R42" s="1">
        <v>3297000.2703343998</v>
      </c>
      <c r="S42" s="1">
        <v>6369.9715999999999</v>
      </c>
      <c r="T42" s="1">
        <v>3303370.2419343996</v>
      </c>
      <c r="U42" s="1">
        <v>744</v>
      </c>
      <c r="V42" s="1">
        <v>0</v>
      </c>
      <c r="W42" s="1">
        <v>744</v>
      </c>
      <c r="X42" s="1">
        <v>0</v>
      </c>
    </row>
    <row r="43" spans="1:24" x14ac:dyDescent="0.25">
      <c r="A43" s="1">
        <v>34</v>
      </c>
      <c r="B43" s="1">
        <v>240</v>
      </c>
      <c r="C43" s="19">
        <v>168</v>
      </c>
      <c r="D43" s="19">
        <v>1149.9000000000001</v>
      </c>
      <c r="E43" s="21">
        <v>0</v>
      </c>
      <c r="F43" s="21">
        <v>0.66</v>
      </c>
      <c r="G43" s="21">
        <v>0.72</v>
      </c>
      <c r="H43" s="21">
        <v>0.65</v>
      </c>
      <c r="I43" s="19">
        <v>-2.1</v>
      </c>
      <c r="J43" s="19">
        <v>-0.8</v>
      </c>
      <c r="K43" s="1">
        <v>1373.0978313999999</v>
      </c>
      <c r="L43" s="1">
        <v>0</v>
      </c>
      <c r="M43" s="1">
        <v>1373.0978313999999</v>
      </c>
      <c r="N43" s="20">
        <v>39.856999999999999</v>
      </c>
      <c r="O43" s="1">
        <v>13762.740379299999</v>
      </c>
      <c r="P43" s="1">
        <v>18</v>
      </c>
      <c r="Q43" s="1">
        <v>13782.743779300001</v>
      </c>
      <c r="R43" s="1">
        <v>4744926.5515198</v>
      </c>
      <c r="S43" s="1">
        <v>7797.9920999999995</v>
      </c>
      <c r="T43" s="1">
        <v>4752724.5436198004</v>
      </c>
      <c r="U43" s="1">
        <v>744</v>
      </c>
      <c r="V43" s="1">
        <v>0</v>
      </c>
      <c r="W43" s="1">
        <v>744</v>
      </c>
      <c r="X43" s="1">
        <v>0</v>
      </c>
    </row>
    <row r="44" spans="1:24" x14ac:dyDescent="0.25">
      <c r="A44" s="1">
        <v>35</v>
      </c>
      <c r="B44" s="1">
        <v>241</v>
      </c>
      <c r="C44" s="19">
        <v>101.6</v>
      </c>
      <c r="D44" s="19">
        <v>1155.77</v>
      </c>
      <c r="E44" s="21">
        <v>0</v>
      </c>
      <c r="F44" s="21">
        <v>0.66</v>
      </c>
      <c r="G44" s="21">
        <v>0.7</v>
      </c>
      <c r="H44" s="21">
        <v>0.65</v>
      </c>
      <c r="I44" s="19">
        <v>1.2</v>
      </c>
      <c r="J44" s="19">
        <v>-0.8</v>
      </c>
      <c r="K44" s="1">
        <v>1516.1299205</v>
      </c>
      <c r="L44" s="1">
        <v>0</v>
      </c>
      <c r="M44" s="1">
        <v>1516.1299205</v>
      </c>
      <c r="N44" s="20">
        <v>44.009</v>
      </c>
      <c r="O44" s="1">
        <v>6178.3268036999998</v>
      </c>
      <c r="P44" s="1">
        <v>8</v>
      </c>
      <c r="Q44" s="1">
        <v>6187.2172037</v>
      </c>
      <c r="R44" s="1">
        <v>2617340.2777745002</v>
      </c>
      <c r="S44" s="1">
        <v>7322.3557000000001</v>
      </c>
      <c r="T44" s="1">
        <v>2624662.6334744999</v>
      </c>
      <c r="U44" s="1">
        <v>744</v>
      </c>
      <c r="V44" s="1">
        <v>0</v>
      </c>
      <c r="W44" s="1">
        <v>744</v>
      </c>
      <c r="X44" s="1">
        <v>0</v>
      </c>
    </row>
    <row r="45" spans="1:24" x14ac:dyDescent="0.25">
      <c r="A45" s="1">
        <v>36</v>
      </c>
      <c r="B45" s="1">
        <v>2949</v>
      </c>
      <c r="C45" s="19">
        <v>168</v>
      </c>
      <c r="D45" s="19">
        <v>1223</v>
      </c>
      <c r="E45" s="21">
        <v>0</v>
      </c>
      <c r="F45" s="21">
        <v>0.69</v>
      </c>
      <c r="G45" s="21">
        <v>0</v>
      </c>
      <c r="H45" s="21">
        <v>0.65</v>
      </c>
      <c r="I45" s="19">
        <v>10.3</v>
      </c>
      <c r="J45" s="19">
        <v>0.1</v>
      </c>
      <c r="K45" s="1">
        <v>3175.2897075000001</v>
      </c>
      <c r="L45" s="1">
        <v>0</v>
      </c>
      <c r="M45" s="1">
        <v>3175.2897075000001</v>
      </c>
      <c r="N45" s="20">
        <v>92.17</v>
      </c>
      <c r="O45" s="1">
        <v>22693.076056099999</v>
      </c>
      <c r="P45" s="1">
        <v>26</v>
      </c>
      <c r="Q45" s="1">
        <v>22721.969856099997</v>
      </c>
      <c r="R45" s="1">
        <v>5114508.009688599</v>
      </c>
      <c r="S45" s="1">
        <v>3982.8991999999998</v>
      </c>
      <c r="T45" s="1">
        <v>5118490.9088885998</v>
      </c>
      <c r="U45" s="1">
        <v>744</v>
      </c>
      <c r="V45" s="1">
        <v>0</v>
      </c>
      <c r="W45" s="1">
        <v>744</v>
      </c>
      <c r="X45" s="1">
        <v>0</v>
      </c>
    </row>
    <row r="46" spans="1:24" x14ac:dyDescent="0.25">
      <c r="A46" s="1">
        <v>37</v>
      </c>
      <c r="B46" s="1">
        <v>2950</v>
      </c>
      <c r="C46" s="19">
        <v>168.3</v>
      </c>
      <c r="D46" s="19">
        <v>1200</v>
      </c>
      <c r="E46" s="21">
        <v>0</v>
      </c>
      <c r="F46" s="21">
        <v>0.68</v>
      </c>
      <c r="G46" s="21">
        <v>0</v>
      </c>
      <c r="H46" s="21">
        <v>0.65</v>
      </c>
      <c r="I46" s="19">
        <v>1.8</v>
      </c>
      <c r="J46" s="19">
        <v>0.1</v>
      </c>
      <c r="K46" s="1">
        <v>2116.8598049999996</v>
      </c>
      <c r="L46" s="1">
        <v>0</v>
      </c>
      <c r="M46" s="1">
        <v>2116.8598049999996</v>
      </c>
      <c r="N46" s="20">
        <v>61.447000000000003</v>
      </c>
      <c r="O46" s="1">
        <v>12709.1412979</v>
      </c>
      <c r="P46" s="1">
        <v>0</v>
      </c>
      <c r="Q46" s="1">
        <v>12709.1412979</v>
      </c>
      <c r="R46" s="1">
        <v>4495815.8687907001</v>
      </c>
      <c r="S46" s="1">
        <v>3347.2356</v>
      </c>
      <c r="T46" s="1">
        <v>4499163.1043906994</v>
      </c>
      <c r="U46" s="1">
        <v>744</v>
      </c>
      <c r="V46" s="1">
        <v>0</v>
      </c>
      <c r="W46" s="1">
        <v>744</v>
      </c>
      <c r="X46" s="1">
        <v>0</v>
      </c>
    </row>
    <row r="47" spans="1:24" x14ac:dyDescent="0.25">
      <c r="A47" s="1">
        <v>38</v>
      </c>
      <c r="B47" s="1">
        <v>2958</v>
      </c>
      <c r="C47" s="19">
        <v>101.6</v>
      </c>
      <c r="D47" s="19">
        <v>1154.7</v>
      </c>
      <c r="E47" s="21">
        <v>0</v>
      </c>
      <c r="F47" s="21">
        <v>0.67</v>
      </c>
      <c r="G47" s="21">
        <v>1.51</v>
      </c>
      <c r="H47" s="21">
        <v>0.61</v>
      </c>
      <c r="I47" s="19">
        <v>3.2</v>
      </c>
      <c r="J47" s="19">
        <v>0.9</v>
      </c>
      <c r="K47" s="1">
        <v>1659.1608982999999</v>
      </c>
      <c r="L47" s="1">
        <v>0</v>
      </c>
      <c r="M47" s="1">
        <v>1659.1608982999999</v>
      </c>
      <c r="N47" s="20">
        <v>48.161000000000001</v>
      </c>
      <c r="O47" s="1">
        <v>12313.8518879</v>
      </c>
      <c r="P47" s="1">
        <v>6</v>
      </c>
      <c r="Q47" s="1">
        <v>12320.5196879</v>
      </c>
      <c r="R47" s="1">
        <v>4097809.8159287996</v>
      </c>
      <c r="S47" s="1">
        <v>3613.9476</v>
      </c>
      <c r="T47" s="1">
        <v>4101423.7635287996</v>
      </c>
      <c r="U47" s="1">
        <v>744</v>
      </c>
      <c r="V47" s="1">
        <v>0</v>
      </c>
      <c r="W47" s="1">
        <v>744</v>
      </c>
      <c r="X47" s="1">
        <v>0</v>
      </c>
    </row>
    <row r="48" spans="1:24" x14ac:dyDescent="0.25">
      <c r="A48" s="1">
        <v>39</v>
      </c>
      <c r="B48" s="1">
        <v>2959</v>
      </c>
      <c r="C48" s="19">
        <v>168.3</v>
      </c>
      <c r="D48" s="19">
        <v>1150.8499999999999</v>
      </c>
      <c r="E48" s="21">
        <v>0</v>
      </c>
      <c r="F48" s="21">
        <v>0.67</v>
      </c>
      <c r="G48" s="21">
        <v>0</v>
      </c>
      <c r="H48" s="21">
        <v>0.61</v>
      </c>
      <c r="I48" s="19">
        <v>4.4000000000000004</v>
      </c>
      <c r="J48" s="19">
        <v>0.9</v>
      </c>
      <c r="K48" s="1">
        <v>1656.9305191999999</v>
      </c>
      <c r="L48" s="1">
        <v>2</v>
      </c>
      <c r="M48" s="1">
        <v>1659.1531191999998</v>
      </c>
      <c r="N48" s="20">
        <v>48.161000000000001</v>
      </c>
      <c r="O48" s="1">
        <v>6166.0536064999997</v>
      </c>
      <c r="P48" s="1">
        <v>4</v>
      </c>
      <c r="Q48" s="1">
        <v>6170.4988064999998</v>
      </c>
      <c r="R48" s="1">
        <v>4240925.0091541</v>
      </c>
      <c r="S48" s="1">
        <v>4947.5075999999999</v>
      </c>
      <c r="T48" s="1">
        <v>4245872.5167541001</v>
      </c>
      <c r="U48" s="1">
        <v>743</v>
      </c>
      <c r="V48" s="1">
        <v>1</v>
      </c>
      <c r="W48" s="1">
        <v>744</v>
      </c>
      <c r="X48" s="1">
        <v>341</v>
      </c>
    </row>
    <row r="49" spans="1:24" x14ac:dyDescent="0.25">
      <c r="A49" s="1">
        <v>40</v>
      </c>
      <c r="B49" s="1">
        <v>2960</v>
      </c>
      <c r="C49" s="19">
        <v>114</v>
      </c>
      <c r="D49" s="19">
        <v>1170.4000000000001</v>
      </c>
      <c r="E49" s="21">
        <v>0</v>
      </c>
      <c r="F49" s="21">
        <v>0.68</v>
      </c>
      <c r="G49" s="21">
        <v>1.41</v>
      </c>
      <c r="H49" s="21">
        <v>0.61</v>
      </c>
      <c r="I49" s="19">
        <v>3.2</v>
      </c>
      <c r="J49" s="19">
        <v>0.9</v>
      </c>
      <c r="K49" s="1">
        <v>1206.9206971999999</v>
      </c>
      <c r="L49" s="1">
        <v>4</v>
      </c>
      <c r="M49" s="1">
        <v>1211.3658972000001</v>
      </c>
      <c r="N49" s="20">
        <v>60.616</v>
      </c>
      <c r="O49" s="1">
        <v>13040.4453878</v>
      </c>
      <c r="P49" s="1">
        <v>4</v>
      </c>
      <c r="Q49" s="1">
        <v>13044.890587800001</v>
      </c>
      <c r="R49" s="1">
        <v>4353378.5407828996</v>
      </c>
      <c r="S49" s="1">
        <v>4817.4854999999998</v>
      </c>
      <c r="T49" s="1">
        <v>4358196.0262829</v>
      </c>
      <c r="U49" s="1">
        <v>430</v>
      </c>
      <c r="V49" s="1">
        <v>312</v>
      </c>
      <c r="W49" s="1">
        <v>744</v>
      </c>
      <c r="X49" s="1">
        <v>327</v>
      </c>
    </row>
    <row r="50" spans="1:24" x14ac:dyDescent="0.25">
      <c r="B50" s="1">
        <v>-153</v>
      </c>
      <c r="C50" s="19"/>
      <c r="D50" s="19"/>
      <c r="E50" s="21"/>
      <c r="F50" s="21"/>
      <c r="G50" s="21"/>
      <c r="H50" s="21"/>
      <c r="I50" s="19"/>
      <c r="J50" s="19"/>
      <c r="K50" s="1">
        <v>0</v>
      </c>
      <c r="M50" s="1">
        <v>0</v>
      </c>
      <c r="N50" s="20"/>
      <c r="O50" s="1">
        <v>0</v>
      </c>
      <c r="Q50" s="1">
        <v>0</v>
      </c>
      <c r="R50" s="1">
        <v>0</v>
      </c>
      <c r="S50" s="1">
        <v>0</v>
      </c>
      <c r="T50" s="1">
        <v>0</v>
      </c>
      <c r="V50" s="1">
        <v>2</v>
      </c>
      <c r="X50" s="1">
        <v>341</v>
      </c>
    </row>
    <row r="51" spans="1:24" x14ac:dyDescent="0.25">
      <c r="A51" s="1">
        <v>41</v>
      </c>
      <c r="B51" s="1">
        <v>2961</v>
      </c>
      <c r="C51" s="19">
        <v>168.3</v>
      </c>
      <c r="D51" s="19">
        <v>956.5</v>
      </c>
      <c r="E51" s="21">
        <v>0</v>
      </c>
      <c r="F51" s="21">
        <v>0.66</v>
      </c>
      <c r="G51" s="21">
        <v>0</v>
      </c>
      <c r="H51" s="21">
        <v>0.61</v>
      </c>
      <c r="I51" s="19">
        <v>3.7</v>
      </c>
      <c r="J51" s="19">
        <v>0.9</v>
      </c>
      <c r="K51" s="1">
        <v>2688.9837161999999</v>
      </c>
      <c r="L51" s="1">
        <v>0</v>
      </c>
      <c r="M51" s="1">
        <v>2688.9837161999999</v>
      </c>
      <c r="N51" s="20">
        <v>78.054000000000002</v>
      </c>
      <c r="O51" s="1">
        <v>20535.083704200002</v>
      </c>
      <c r="P51" s="1">
        <v>6</v>
      </c>
      <c r="Q51" s="1">
        <v>20541.751504200001</v>
      </c>
      <c r="R51" s="1">
        <v>5242388.1089436999</v>
      </c>
      <c r="S51" s="1">
        <v>3625.0605999999998</v>
      </c>
      <c r="T51" s="1">
        <v>5246013.1695437003</v>
      </c>
      <c r="U51" s="1">
        <v>744</v>
      </c>
      <c r="V51" s="1">
        <v>0</v>
      </c>
      <c r="W51" s="1">
        <v>744</v>
      </c>
      <c r="X51" s="1">
        <v>0</v>
      </c>
    </row>
    <row r="52" spans="1:24" x14ac:dyDescent="0.25">
      <c r="B52" s="1">
        <v>-153</v>
      </c>
      <c r="C52" s="19">
        <v>127</v>
      </c>
      <c r="D52" s="19">
        <v>1146.5999999999999</v>
      </c>
      <c r="E52" s="21"/>
      <c r="F52" s="21"/>
      <c r="G52" s="21"/>
      <c r="H52" s="21"/>
      <c r="I52" s="19"/>
      <c r="J52" s="19"/>
      <c r="K52" s="1">
        <v>0</v>
      </c>
      <c r="M52" s="1">
        <v>0</v>
      </c>
      <c r="N52" s="20"/>
      <c r="O52" s="1">
        <v>0</v>
      </c>
      <c r="Q52" s="1">
        <v>0</v>
      </c>
      <c r="R52" s="1">
        <v>0</v>
      </c>
      <c r="S52" s="1">
        <v>0</v>
      </c>
      <c r="T52" s="1">
        <v>0</v>
      </c>
    </row>
    <row r="53" spans="1:24" x14ac:dyDescent="0.25">
      <c r="A53" s="1">
        <v>42</v>
      </c>
      <c r="B53" s="1">
        <v>2968</v>
      </c>
      <c r="C53" s="19">
        <v>114</v>
      </c>
      <c r="D53" s="19">
        <v>1169.7</v>
      </c>
      <c r="E53" s="21">
        <v>0</v>
      </c>
      <c r="F53" s="21">
        <v>0.69</v>
      </c>
      <c r="G53" s="21">
        <v>1</v>
      </c>
      <c r="H53" s="21">
        <v>0.64</v>
      </c>
      <c r="I53" s="19">
        <v>4.2</v>
      </c>
      <c r="J53" s="19">
        <v>1.9</v>
      </c>
      <c r="K53" s="1">
        <v>2856.7766805999995</v>
      </c>
      <c r="L53" s="1">
        <v>2</v>
      </c>
      <c r="M53" s="1">
        <v>2858.9992805999996</v>
      </c>
      <c r="N53" s="20">
        <v>83.036000000000001</v>
      </c>
      <c r="O53" s="1">
        <v>10680.365353499999</v>
      </c>
      <c r="P53" s="1">
        <v>5</v>
      </c>
      <c r="Q53" s="1">
        <v>10685.9218535</v>
      </c>
      <c r="R53" s="1">
        <v>4340347.7314774003</v>
      </c>
      <c r="S53" s="1">
        <v>3520.5983999999999</v>
      </c>
      <c r="T53" s="1">
        <v>4343868.3298773998</v>
      </c>
      <c r="U53" s="1">
        <v>743</v>
      </c>
      <c r="V53" s="1">
        <v>1</v>
      </c>
      <c r="W53" s="1">
        <v>744</v>
      </c>
      <c r="X53" s="1">
        <v>341</v>
      </c>
    </row>
    <row r="54" spans="1:24" x14ac:dyDescent="0.25">
      <c r="A54" s="1">
        <v>43</v>
      </c>
      <c r="B54" s="1">
        <v>2969</v>
      </c>
      <c r="C54" s="19">
        <v>114</v>
      </c>
      <c r="D54" s="19">
        <v>1151.45</v>
      </c>
      <c r="E54" s="21">
        <v>0</v>
      </c>
      <c r="F54" s="21">
        <v>0.69</v>
      </c>
      <c r="G54" s="21">
        <v>1</v>
      </c>
      <c r="H54" s="21">
        <v>0.64</v>
      </c>
      <c r="I54" s="19">
        <v>7.6</v>
      </c>
      <c r="J54" s="19">
        <v>1.9</v>
      </c>
      <c r="K54" s="1">
        <v>2374.3157873</v>
      </c>
      <c r="L54" s="1">
        <v>0</v>
      </c>
      <c r="M54" s="1">
        <v>2374.3157873</v>
      </c>
      <c r="N54" s="20">
        <v>68.92</v>
      </c>
      <c r="O54" s="1">
        <v>15506.652349499998</v>
      </c>
      <c r="P54" s="1">
        <v>15</v>
      </c>
      <c r="Q54" s="1">
        <v>15523.321849499998</v>
      </c>
      <c r="R54" s="1">
        <v>3675118.8295636997</v>
      </c>
      <c r="S54" s="1">
        <v>5780.9825999999994</v>
      </c>
      <c r="T54" s="1">
        <v>3680899.8121636999</v>
      </c>
      <c r="U54" s="1">
        <v>744</v>
      </c>
      <c r="V54" s="1">
        <v>0</v>
      </c>
      <c r="W54" s="1">
        <v>744</v>
      </c>
      <c r="X54" s="1">
        <v>0</v>
      </c>
    </row>
    <row r="55" spans="1:24" x14ac:dyDescent="0.25">
      <c r="A55" s="1">
        <v>44</v>
      </c>
      <c r="B55" s="1">
        <v>2970</v>
      </c>
      <c r="C55" s="19">
        <v>101.6</v>
      </c>
      <c r="D55" s="19">
        <v>1153</v>
      </c>
      <c r="E55" s="21">
        <v>0</v>
      </c>
      <c r="F55" s="21">
        <v>0.7</v>
      </c>
      <c r="G55" s="21">
        <v>0</v>
      </c>
      <c r="H55" s="21">
        <v>0.64</v>
      </c>
      <c r="I55" s="19">
        <v>7.2</v>
      </c>
      <c r="J55" s="19">
        <v>1.9</v>
      </c>
      <c r="K55" s="1">
        <v>2116.8598049999996</v>
      </c>
      <c r="L55" s="1">
        <v>0</v>
      </c>
      <c r="M55" s="1">
        <v>2116.8598049999996</v>
      </c>
      <c r="N55" s="20">
        <v>61.447000000000003</v>
      </c>
      <c r="O55" s="1">
        <v>14507.154685999998</v>
      </c>
      <c r="P55" s="1">
        <v>12</v>
      </c>
      <c r="Q55" s="1">
        <v>14520.490285999998</v>
      </c>
      <c r="R55" s="1">
        <v>3938097.0127004995</v>
      </c>
      <c r="S55" s="1">
        <v>6204.3878999999997</v>
      </c>
      <c r="T55" s="1">
        <v>3944301.4006004995</v>
      </c>
      <c r="U55" s="1">
        <v>744</v>
      </c>
      <c r="V55" s="1">
        <v>0</v>
      </c>
      <c r="W55" s="1">
        <v>744</v>
      </c>
      <c r="X55" s="1">
        <v>0</v>
      </c>
    </row>
    <row r="56" spans="1:24" x14ac:dyDescent="0.25">
      <c r="A56" s="1">
        <v>45</v>
      </c>
      <c r="B56" s="1">
        <v>2971</v>
      </c>
      <c r="C56" s="19">
        <v>168.3</v>
      </c>
      <c r="D56" s="19">
        <v>1161.5</v>
      </c>
      <c r="E56" s="21">
        <v>0</v>
      </c>
      <c r="F56" s="21">
        <v>0.72</v>
      </c>
      <c r="G56" s="21">
        <v>0</v>
      </c>
      <c r="H56" s="21">
        <v>0.64</v>
      </c>
      <c r="I56" s="19">
        <v>13.3</v>
      </c>
      <c r="J56" s="19">
        <v>1.9</v>
      </c>
      <c r="K56" s="1">
        <v>5549.6054948000001</v>
      </c>
      <c r="L56" s="1">
        <v>0</v>
      </c>
      <c r="M56" s="1">
        <v>5549.6054948000001</v>
      </c>
      <c r="N56" s="20">
        <v>161.09</v>
      </c>
      <c r="O56" s="1">
        <v>37985.812045999999</v>
      </c>
      <c r="P56" s="1">
        <v>29</v>
      </c>
      <c r="Q56" s="1">
        <v>38018.039745999995</v>
      </c>
      <c r="R56" s="1">
        <v>5182759.441571</v>
      </c>
      <c r="S56" s="1">
        <v>5565.3904000000002</v>
      </c>
      <c r="T56" s="1">
        <v>5188324.8319709999</v>
      </c>
      <c r="U56" s="1">
        <v>744</v>
      </c>
      <c r="V56" s="1">
        <v>0</v>
      </c>
      <c r="W56" s="1">
        <v>744</v>
      </c>
      <c r="X56" s="1">
        <v>0</v>
      </c>
    </row>
    <row r="57" spans="1:24" x14ac:dyDescent="0.25">
      <c r="A57" s="1">
        <v>46</v>
      </c>
      <c r="B57" s="1">
        <v>2978</v>
      </c>
      <c r="C57" s="19">
        <v>114</v>
      </c>
      <c r="D57" s="19">
        <v>1033.4000000000001</v>
      </c>
      <c r="E57" s="21">
        <v>0</v>
      </c>
      <c r="F57" s="21">
        <v>0.68</v>
      </c>
      <c r="G57" s="21">
        <v>0.72</v>
      </c>
      <c r="H57" s="21">
        <v>0.61</v>
      </c>
      <c r="I57" s="19">
        <v>5.2</v>
      </c>
      <c r="J57" s="19">
        <v>0.5</v>
      </c>
      <c r="K57" s="1">
        <v>3318.3206853000002</v>
      </c>
      <c r="L57" s="1">
        <v>0</v>
      </c>
      <c r="M57" s="1">
        <v>3318.3206853000002</v>
      </c>
      <c r="N57" s="20">
        <v>96.322000000000003</v>
      </c>
      <c r="O57" s="1">
        <v>27483.572524299998</v>
      </c>
      <c r="P57" s="1">
        <v>14</v>
      </c>
      <c r="Q57" s="1">
        <v>27499.130724299997</v>
      </c>
      <c r="R57" s="1">
        <v>3765534.8187803999</v>
      </c>
      <c r="S57" s="1">
        <v>7044.5306999999993</v>
      </c>
      <c r="T57" s="1">
        <v>3772579.3494803999</v>
      </c>
      <c r="U57" s="1">
        <v>744</v>
      </c>
      <c r="V57" s="1">
        <v>0</v>
      </c>
      <c r="W57" s="1">
        <v>744</v>
      </c>
      <c r="X57" s="1">
        <v>0</v>
      </c>
    </row>
    <row r="58" spans="1:24" x14ac:dyDescent="0.25">
      <c r="A58" s="1">
        <v>47</v>
      </c>
      <c r="B58" s="1">
        <v>2988</v>
      </c>
      <c r="C58" s="19">
        <v>114</v>
      </c>
      <c r="D58" s="19">
        <v>1193.57</v>
      </c>
      <c r="E58" s="21">
        <v>0</v>
      </c>
      <c r="F58" s="21">
        <v>0.69</v>
      </c>
      <c r="G58" s="21">
        <v>0</v>
      </c>
      <c r="H58" s="21">
        <v>0.64</v>
      </c>
      <c r="I58" s="19">
        <v>4.3</v>
      </c>
      <c r="J58" s="19">
        <v>1</v>
      </c>
      <c r="K58" s="1">
        <v>3175.2897075000001</v>
      </c>
      <c r="L58" s="1">
        <v>0</v>
      </c>
      <c r="M58" s="1">
        <v>3175.2897075000001</v>
      </c>
      <c r="N58" s="20">
        <v>92.17</v>
      </c>
      <c r="O58" s="1">
        <v>21787.622155099998</v>
      </c>
      <c r="P58" s="1">
        <v>19</v>
      </c>
      <c r="Q58" s="1">
        <v>21808.736855099996</v>
      </c>
      <c r="R58" s="1">
        <v>4608650.6574443998</v>
      </c>
      <c r="S58" s="1">
        <v>7610.1823999999997</v>
      </c>
      <c r="T58" s="1">
        <v>4616260.8398444001</v>
      </c>
      <c r="U58" s="1">
        <v>744</v>
      </c>
      <c r="V58" s="1">
        <v>0</v>
      </c>
      <c r="W58" s="1">
        <v>744</v>
      </c>
      <c r="X58" s="1">
        <v>0</v>
      </c>
    </row>
    <row r="59" spans="1:24" x14ac:dyDescent="0.25">
      <c r="A59" s="1">
        <v>48</v>
      </c>
      <c r="B59" s="1">
        <v>2989</v>
      </c>
      <c r="C59" s="19">
        <v>114</v>
      </c>
      <c r="D59" s="19">
        <v>1182.8599999999999</v>
      </c>
      <c r="E59" s="21">
        <v>0.67</v>
      </c>
      <c r="F59" s="21">
        <v>0.7</v>
      </c>
      <c r="G59" s="21">
        <v>0</v>
      </c>
      <c r="H59" s="21">
        <v>0.64</v>
      </c>
      <c r="I59" s="19">
        <v>-2</v>
      </c>
      <c r="J59" s="19">
        <v>1</v>
      </c>
      <c r="K59" s="1">
        <v>2603.1657962999998</v>
      </c>
      <c r="L59" s="1">
        <v>0</v>
      </c>
      <c r="M59" s="1">
        <v>2603.1657962999998</v>
      </c>
      <c r="N59" s="20">
        <v>75.563000000000002</v>
      </c>
      <c r="O59" s="1">
        <v>15494.569184599999</v>
      </c>
      <c r="P59" s="1">
        <v>19</v>
      </c>
      <c r="Q59" s="1">
        <v>15515.683884599999</v>
      </c>
      <c r="R59" s="1">
        <v>2695423.3207466998</v>
      </c>
      <c r="S59" s="1">
        <v>6740.0344999999998</v>
      </c>
      <c r="T59" s="1">
        <v>2702163.3552466999</v>
      </c>
      <c r="U59" s="1">
        <v>744</v>
      </c>
      <c r="V59" s="1">
        <v>0</v>
      </c>
      <c r="W59" s="1">
        <v>744</v>
      </c>
      <c r="X59" s="1">
        <v>0</v>
      </c>
    </row>
    <row r="60" spans="1:24" x14ac:dyDescent="0.25">
      <c r="A60" s="1">
        <v>49</v>
      </c>
      <c r="B60" s="1">
        <v>2990</v>
      </c>
      <c r="C60" s="19">
        <v>114</v>
      </c>
      <c r="D60" s="19">
        <v>1184</v>
      </c>
      <c r="E60" s="21">
        <v>0</v>
      </c>
      <c r="F60" s="21">
        <v>0.7</v>
      </c>
      <c r="G60" s="21">
        <v>0</v>
      </c>
      <c r="H60" s="21">
        <v>0.64</v>
      </c>
      <c r="I60" s="19">
        <v>0.4</v>
      </c>
      <c r="J60" s="19">
        <v>1</v>
      </c>
      <c r="K60" s="1">
        <v>2202.6777249000002</v>
      </c>
      <c r="L60" s="1">
        <v>0</v>
      </c>
      <c r="M60" s="1">
        <v>2202.6777249000002</v>
      </c>
      <c r="N60" s="20">
        <v>63.938000000000002</v>
      </c>
      <c r="O60" s="1">
        <v>15749.526964500001</v>
      </c>
      <c r="P60" s="1">
        <v>3</v>
      </c>
      <c r="Q60" s="1">
        <v>15752.8608645</v>
      </c>
      <c r="R60" s="1">
        <v>3003830.8066633996</v>
      </c>
      <c r="S60" s="1">
        <v>5059.7488999999996</v>
      </c>
      <c r="T60" s="1">
        <v>3008890.5555633996</v>
      </c>
      <c r="U60" s="1">
        <v>744</v>
      </c>
      <c r="V60" s="1">
        <v>0</v>
      </c>
      <c r="W60" s="1">
        <v>744</v>
      </c>
      <c r="X60" s="1">
        <v>0</v>
      </c>
    </row>
    <row r="61" spans="1:24" x14ac:dyDescent="0.25">
      <c r="A61" s="1">
        <v>50</v>
      </c>
      <c r="B61" s="1">
        <v>2998</v>
      </c>
      <c r="C61" s="19">
        <v>114</v>
      </c>
      <c r="D61" s="19">
        <v>1153</v>
      </c>
      <c r="E61" s="21">
        <v>0</v>
      </c>
      <c r="F61" s="21">
        <v>0.66</v>
      </c>
      <c r="G61" s="21">
        <v>0</v>
      </c>
      <c r="H61" s="21">
        <v>0.65</v>
      </c>
      <c r="I61" s="19">
        <v>-2</v>
      </c>
      <c r="J61" s="19">
        <v>-0.8</v>
      </c>
      <c r="K61" s="1">
        <v>2545.9527383999998</v>
      </c>
      <c r="L61" s="1">
        <v>0</v>
      </c>
      <c r="M61" s="1">
        <v>2545.9527383999998</v>
      </c>
      <c r="N61" s="20">
        <v>73.902000000000001</v>
      </c>
      <c r="O61" s="1">
        <v>18896.7874634</v>
      </c>
      <c r="P61" s="1">
        <v>0</v>
      </c>
      <c r="Q61" s="1">
        <v>18896.7874634</v>
      </c>
      <c r="R61" s="1">
        <v>1894592.2292678999</v>
      </c>
      <c r="S61" s="1">
        <v>3639.5074999999997</v>
      </c>
      <c r="T61" s="1">
        <v>1898231.7367678999</v>
      </c>
      <c r="U61" s="1">
        <v>744</v>
      </c>
      <c r="V61" s="1">
        <v>0</v>
      </c>
      <c r="W61" s="1">
        <v>744</v>
      </c>
      <c r="X61" s="1">
        <v>0</v>
      </c>
    </row>
    <row r="62" spans="1:24" x14ac:dyDescent="0.25">
      <c r="A62" s="1">
        <v>51</v>
      </c>
      <c r="B62" s="1">
        <v>2999</v>
      </c>
      <c r="C62" s="19">
        <v>114</v>
      </c>
      <c r="D62" s="19">
        <v>1247</v>
      </c>
      <c r="E62" s="21">
        <v>0</v>
      </c>
      <c r="F62" s="21">
        <v>0.66</v>
      </c>
      <c r="G62" s="21">
        <v>0</v>
      </c>
      <c r="H62" s="21">
        <v>0.65</v>
      </c>
      <c r="I62" s="19">
        <v>3.4</v>
      </c>
      <c r="J62" s="19">
        <v>-0.8</v>
      </c>
      <c r="K62" s="1">
        <v>2832.014694</v>
      </c>
      <c r="L62" s="1">
        <v>0</v>
      </c>
      <c r="M62" s="1">
        <v>2832.014694</v>
      </c>
      <c r="N62" s="20">
        <v>82.206000000000003</v>
      </c>
      <c r="O62" s="1">
        <v>21028.410888899998</v>
      </c>
      <c r="P62" s="1">
        <v>6</v>
      </c>
      <c r="Q62" s="1">
        <v>21035.078688899997</v>
      </c>
      <c r="R62" s="1">
        <v>1810780.947105</v>
      </c>
      <c r="S62" s="1">
        <v>1962.5557999999999</v>
      </c>
      <c r="T62" s="1">
        <v>1812743.502905</v>
      </c>
      <c r="U62" s="1">
        <v>744</v>
      </c>
      <c r="V62" s="1">
        <v>0</v>
      </c>
      <c r="W62" s="1">
        <v>744</v>
      </c>
      <c r="X62" s="1">
        <v>0</v>
      </c>
    </row>
    <row r="63" spans="1:24" x14ac:dyDescent="0.25">
      <c r="A63" s="1">
        <v>52</v>
      </c>
      <c r="B63" s="1">
        <v>3000</v>
      </c>
      <c r="C63" s="19">
        <v>114.3</v>
      </c>
      <c r="D63" s="19">
        <v>1210.7</v>
      </c>
      <c r="E63" s="21">
        <v>0</v>
      </c>
      <c r="F63" s="21">
        <v>0.66</v>
      </c>
      <c r="G63" s="21">
        <v>0</v>
      </c>
      <c r="H63" s="21">
        <v>0.65</v>
      </c>
      <c r="I63" s="19">
        <v>-2.8</v>
      </c>
      <c r="J63" s="19">
        <v>-0.8</v>
      </c>
      <c r="K63" s="1">
        <v>1144.2489336999997</v>
      </c>
      <c r="L63" s="1">
        <v>0</v>
      </c>
      <c r="M63" s="1">
        <v>1144.2489336999997</v>
      </c>
      <c r="N63" s="20">
        <v>33.213999999999999</v>
      </c>
      <c r="O63" s="1">
        <v>7747.2479193999998</v>
      </c>
      <c r="P63" s="1">
        <v>3</v>
      </c>
      <c r="Q63" s="1">
        <v>7750.5818193999994</v>
      </c>
      <c r="R63" s="1">
        <v>1926108.3694344</v>
      </c>
      <c r="S63" s="1">
        <v>2692.6799000000001</v>
      </c>
      <c r="T63" s="1">
        <v>1928801.0493343999</v>
      </c>
      <c r="U63" s="1">
        <v>744</v>
      </c>
      <c r="V63" s="1">
        <v>0</v>
      </c>
      <c r="W63" s="1">
        <v>744</v>
      </c>
      <c r="X63" s="1">
        <v>0</v>
      </c>
    </row>
    <row r="64" spans="1:24" x14ac:dyDescent="0.25">
      <c r="B64" s="1">
        <v>-153</v>
      </c>
      <c r="C64" s="19"/>
      <c r="D64" s="19"/>
      <c r="E64" s="21"/>
      <c r="F64" s="21"/>
      <c r="G64" s="21"/>
      <c r="H64" s="21"/>
      <c r="I64" s="19"/>
      <c r="J64" s="19"/>
      <c r="K64" s="1">
        <v>0</v>
      </c>
      <c r="M64" s="1">
        <v>0</v>
      </c>
      <c r="N64" s="30" t="s">
        <v>54</v>
      </c>
      <c r="O64" s="1">
        <v>0</v>
      </c>
      <c r="Q64" s="1">
        <v>0</v>
      </c>
      <c r="R64" s="1">
        <v>0</v>
      </c>
      <c r="S64" s="1">
        <v>0</v>
      </c>
      <c r="T64" s="1">
        <v>0</v>
      </c>
    </row>
    <row r="65" spans="1:24" x14ac:dyDescent="0.25">
      <c r="A65" s="1">
        <v>53</v>
      </c>
      <c r="B65" s="1">
        <v>161</v>
      </c>
      <c r="C65" s="19">
        <v>168.3</v>
      </c>
      <c r="D65" s="19">
        <v>1133.5999999999999</v>
      </c>
      <c r="E65" s="21">
        <v>0</v>
      </c>
      <c r="F65" s="21">
        <v>0.66</v>
      </c>
      <c r="G65" s="21">
        <v>0</v>
      </c>
      <c r="H65" s="21">
        <v>0.63</v>
      </c>
      <c r="I65" s="19">
        <v>-5</v>
      </c>
      <c r="J65" s="19">
        <v>2.9</v>
      </c>
      <c r="K65" s="1">
        <v>2075.6816948000001</v>
      </c>
      <c r="L65" s="1">
        <v>0</v>
      </c>
      <c r="M65" s="1">
        <v>2075.6816948000001</v>
      </c>
      <c r="N65" s="20">
        <v>146.97399999999999</v>
      </c>
      <c r="O65" s="1">
        <v>32680.281370199998</v>
      </c>
      <c r="P65" s="1">
        <v>18</v>
      </c>
      <c r="Q65" s="1">
        <v>32700.2847702</v>
      </c>
      <c r="R65" s="1">
        <v>10321518.514350699</v>
      </c>
      <c r="S65" s="1">
        <v>8134.7159999999994</v>
      </c>
      <c r="T65" s="1">
        <v>10329653.230350699</v>
      </c>
      <c r="U65" s="1">
        <v>305</v>
      </c>
      <c r="V65" s="1">
        <v>439</v>
      </c>
      <c r="W65" s="1">
        <v>744</v>
      </c>
      <c r="X65" s="1">
        <v>327</v>
      </c>
    </row>
    <row r="66" spans="1:24" x14ac:dyDescent="0.25">
      <c r="A66" s="1">
        <v>54</v>
      </c>
      <c r="B66" s="1">
        <v>168</v>
      </c>
      <c r="C66" s="19">
        <v>168</v>
      </c>
      <c r="D66" s="19">
        <v>1122.3</v>
      </c>
      <c r="E66" s="21">
        <v>0</v>
      </c>
      <c r="F66" s="21">
        <v>0.66</v>
      </c>
      <c r="G66" s="21">
        <v>0</v>
      </c>
      <c r="H66" s="21">
        <v>0.63</v>
      </c>
      <c r="I66" s="19">
        <v>-4</v>
      </c>
      <c r="J66" s="19">
        <v>5.7</v>
      </c>
      <c r="K66" s="1">
        <v>492.68818719999996</v>
      </c>
      <c r="L66" s="1">
        <v>0</v>
      </c>
      <c r="M66" s="1">
        <v>492.68818719999996</v>
      </c>
      <c r="N66" s="20">
        <v>35.706000000000003</v>
      </c>
      <c r="O66" s="1">
        <v>7103.6474147999998</v>
      </c>
      <c r="P66" s="1">
        <v>10</v>
      </c>
      <c r="Q66" s="1">
        <v>7114.7604148</v>
      </c>
      <c r="R66" s="1">
        <v>5316640.5452679005</v>
      </c>
      <c r="S66" s="1">
        <v>11564.1878</v>
      </c>
      <c r="T66" s="1">
        <v>5328204.7330678999</v>
      </c>
      <c r="U66" s="1">
        <v>298</v>
      </c>
      <c r="V66" s="1">
        <v>446</v>
      </c>
      <c r="W66" s="1">
        <v>744</v>
      </c>
      <c r="X66" s="1">
        <v>327</v>
      </c>
    </row>
    <row r="67" spans="1:24" x14ac:dyDescent="0.25">
      <c r="A67" s="1">
        <v>55</v>
      </c>
      <c r="B67" s="1">
        <v>2948</v>
      </c>
      <c r="C67" s="19">
        <v>114</v>
      </c>
      <c r="D67" s="19">
        <v>1146</v>
      </c>
      <c r="E67" s="21">
        <v>0</v>
      </c>
      <c r="F67" s="21">
        <v>0.68</v>
      </c>
      <c r="G67" s="21">
        <v>0</v>
      </c>
      <c r="H67" s="21">
        <v>0.65</v>
      </c>
      <c r="I67" s="19">
        <v>-7</v>
      </c>
      <c r="J67" s="19">
        <v>0.1</v>
      </c>
      <c r="K67" s="1">
        <v>516.21996469999999</v>
      </c>
      <c r="L67" s="1">
        <v>0</v>
      </c>
      <c r="M67" s="1">
        <v>516.21996469999999</v>
      </c>
      <c r="N67" s="20">
        <v>40.688000000000002</v>
      </c>
      <c r="O67" s="1">
        <v>11586.4015757</v>
      </c>
      <c r="P67" s="1">
        <v>14</v>
      </c>
      <c r="Q67" s="1">
        <v>11601.959775699999</v>
      </c>
      <c r="R67" s="1">
        <v>4209483.1193857994</v>
      </c>
      <c r="S67" s="1">
        <v>6612.2349999999997</v>
      </c>
      <c r="T67" s="1">
        <v>4216095.3543857997</v>
      </c>
      <c r="U67" s="1">
        <v>274</v>
      </c>
      <c r="V67" s="1">
        <v>470</v>
      </c>
      <c r="W67" s="1">
        <v>744</v>
      </c>
      <c r="X67" s="1">
        <v>327</v>
      </c>
    </row>
    <row r="68" spans="1:24" x14ac:dyDescent="0.25">
      <c r="A68" s="1">
        <v>56</v>
      </c>
      <c r="B68" s="1">
        <v>2979</v>
      </c>
      <c r="C68" s="19">
        <v>114</v>
      </c>
      <c r="D68" s="19">
        <v>1122</v>
      </c>
      <c r="E68" s="21">
        <v>0.88</v>
      </c>
      <c r="F68" s="21">
        <v>0.65</v>
      </c>
      <c r="G68" s="21">
        <v>0.72</v>
      </c>
      <c r="H68" s="21">
        <v>0.61</v>
      </c>
      <c r="I68" s="19">
        <v>-8</v>
      </c>
      <c r="J68" s="19">
        <v>0.5</v>
      </c>
      <c r="K68" s="1">
        <v>442.47409669999996</v>
      </c>
      <c r="L68" s="1">
        <v>0</v>
      </c>
      <c r="M68" s="1">
        <v>442.47409669999996</v>
      </c>
      <c r="N68" s="20">
        <v>34.875</v>
      </c>
      <c r="O68" s="1">
        <v>8222.9776685999987</v>
      </c>
      <c r="P68" s="1">
        <v>0</v>
      </c>
      <c r="Q68" s="1">
        <v>8222.9776685999987</v>
      </c>
      <c r="R68" s="1">
        <v>3637359.4993463997</v>
      </c>
      <c r="S68" s="1">
        <v>2328.1734999999999</v>
      </c>
      <c r="T68" s="1">
        <v>3639687.6728463997</v>
      </c>
      <c r="U68" s="1">
        <v>274</v>
      </c>
      <c r="V68" s="1">
        <v>470</v>
      </c>
      <c r="W68" s="1">
        <v>744</v>
      </c>
      <c r="X68" s="1">
        <v>327</v>
      </c>
    </row>
    <row r="69" spans="1:24" x14ac:dyDescent="0.25">
      <c r="A69" s="1">
        <v>57</v>
      </c>
      <c r="B69" s="1">
        <v>2980</v>
      </c>
      <c r="C69" s="19">
        <v>114</v>
      </c>
      <c r="D69" s="19">
        <v>1222.0999999999999</v>
      </c>
      <c r="E69" s="21">
        <v>0</v>
      </c>
      <c r="F69" s="21">
        <v>0.65</v>
      </c>
      <c r="G69" s="21">
        <v>0</v>
      </c>
      <c r="H69" s="21">
        <v>0.61</v>
      </c>
      <c r="I69" s="19">
        <v>-9</v>
      </c>
      <c r="J69" s="19">
        <v>0.5</v>
      </c>
      <c r="K69" s="1">
        <v>82.665161799999993</v>
      </c>
      <c r="L69" s="1">
        <v>0</v>
      </c>
      <c r="M69" s="1">
        <v>82.665161799999993</v>
      </c>
      <c r="N69" s="20">
        <v>35.704999999999998</v>
      </c>
      <c r="O69" s="1">
        <v>718.76439140000002</v>
      </c>
      <c r="P69" s="1">
        <v>0</v>
      </c>
      <c r="Q69" s="1">
        <v>718.76439140000002</v>
      </c>
      <c r="R69" s="1">
        <v>3502757.2886376996</v>
      </c>
      <c r="S69" s="1">
        <v>1746.9636</v>
      </c>
      <c r="T69" s="1">
        <v>3504504.2522376995</v>
      </c>
      <c r="U69" s="1">
        <v>50</v>
      </c>
      <c r="V69" s="1">
        <v>694</v>
      </c>
      <c r="W69" s="1">
        <v>744</v>
      </c>
      <c r="X69" s="1">
        <v>327</v>
      </c>
    </row>
    <row r="70" spans="1:24" x14ac:dyDescent="0.25">
      <c r="A70" s="28"/>
      <c r="C70" s="24"/>
      <c r="D70" s="24"/>
      <c r="E70" s="25"/>
      <c r="F70" s="25"/>
      <c r="G70" s="25"/>
      <c r="H70" s="25"/>
      <c r="I70" s="24"/>
      <c r="J70" s="24"/>
      <c r="L70" s="23"/>
      <c r="N70" s="27"/>
      <c r="P70" s="23"/>
      <c r="U70" s="23"/>
      <c r="V70" s="23"/>
      <c r="W70" s="23"/>
      <c r="X70" s="23"/>
    </row>
    <row r="71" spans="1:24" x14ac:dyDescent="0.25">
      <c r="A71" s="29"/>
    </row>
    <row r="72" spans="1:24" x14ac:dyDescent="0.25">
      <c r="A72" s="29"/>
    </row>
    <row r="73" spans="1:24" x14ac:dyDescent="0.25">
      <c r="A73" s="29"/>
    </row>
    <row r="74" spans="1:24" x14ac:dyDescent="0.25">
      <c r="A74" s="29"/>
    </row>
    <row r="75" spans="1:24" x14ac:dyDescent="0.25">
      <c r="N75" s="18"/>
    </row>
    <row r="76" spans="1:24" x14ac:dyDescent="0.25">
      <c r="C76" s="19"/>
      <c r="D76" s="19"/>
      <c r="E76" s="20"/>
      <c r="F76" s="20"/>
      <c r="G76" s="20"/>
      <c r="H76" s="20"/>
      <c r="I76" s="20"/>
      <c r="J76" s="20"/>
      <c r="N76" s="20"/>
      <c r="O76" s="22"/>
      <c r="Q76" s="22"/>
      <c r="R76" s="22"/>
      <c r="T76" s="22"/>
    </row>
    <row r="77" spans="1:24" x14ac:dyDescent="0.25">
      <c r="C77" s="19"/>
      <c r="D77" s="19"/>
      <c r="E77" s="20"/>
      <c r="F77" s="20"/>
      <c r="G77" s="20"/>
      <c r="H77" s="20"/>
      <c r="I77" s="20"/>
      <c r="J77" s="20"/>
      <c r="N77" s="20"/>
      <c r="O77" s="20"/>
      <c r="Q77" s="20"/>
      <c r="R77" s="22"/>
      <c r="T77" s="22"/>
    </row>
    <row r="78" spans="1:24" x14ac:dyDescent="0.25">
      <c r="C78" s="19"/>
      <c r="D78" s="19"/>
      <c r="E78" s="20"/>
      <c r="F78" s="20"/>
      <c r="G78" s="20"/>
      <c r="H78" s="20"/>
      <c r="I78" s="20"/>
      <c r="J78" s="20"/>
      <c r="N78" s="30"/>
      <c r="O78" s="20"/>
      <c r="Q78" s="20"/>
      <c r="R78" s="20"/>
      <c r="T78" s="20"/>
    </row>
    <row r="79" spans="1:24" x14ac:dyDescent="0.25">
      <c r="C79" s="19"/>
      <c r="D79" s="19"/>
      <c r="E79" s="20"/>
      <c r="F79" s="20"/>
      <c r="G79" s="20"/>
      <c r="H79" s="20"/>
      <c r="I79" s="20"/>
      <c r="J79" s="20"/>
      <c r="N79" s="20"/>
      <c r="O79" s="20"/>
      <c r="Q79" s="20"/>
      <c r="R79" s="22"/>
      <c r="T79" s="22"/>
    </row>
    <row r="80" spans="1:24" x14ac:dyDescent="0.25">
      <c r="C80" s="19"/>
      <c r="D80" s="19"/>
      <c r="E80" s="20"/>
      <c r="F80" s="20"/>
      <c r="G80" s="20"/>
      <c r="H80" s="20"/>
      <c r="I80" s="20"/>
      <c r="J80" s="20"/>
      <c r="N80" s="20"/>
      <c r="O80" s="20"/>
      <c r="Q80" s="20"/>
      <c r="R80" s="22"/>
      <c r="T80" s="22"/>
    </row>
    <row r="81" spans="3:20" x14ac:dyDescent="0.25">
      <c r="C81" s="19"/>
      <c r="D81" s="19"/>
      <c r="E81" s="20"/>
      <c r="F81" s="20"/>
      <c r="G81" s="20"/>
      <c r="H81" s="20"/>
      <c r="I81" s="20"/>
      <c r="J81" s="20"/>
      <c r="N81" s="20"/>
      <c r="O81" s="20"/>
      <c r="Q81" s="20"/>
      <c r="R81" s="22"/>
      <c r="T81" s="22"/>
    </row>
    <row r="82" spans="3:20" x14ac:dyDescent="0.25">
      <c r="C82" s="19"/>
      <c r="D82" s="19"/>
      <c r="E82" s="20"/>
      <c r="F82" s="20"/>
      <c r="G82" s="20"/>
      <c r="H82" s="20"/>
      <c r="I82" s="20"/>
      <c r="J82" s="20"/>
      <c r="N82" s="30"/>
      <c r="O82" s="20"/>
      <c r="Q82" s="20"/>
      <c r="R82" s="20"/>
      <c r="T82" s="20"/>
    </row>
    <row r="83" spans="3:20" x14ac:dyDescent="0.25">
      <c r="C83" s="19"/>
      <c r="D83" s="19"/>
      <c r="E83" s="20"/>
      <c r="F83" s="20"/>
      <c r="G83" s="20"/>
      <c r="H83" s="20"/>
      <c r="I83" s="20"/>
      <c r="J83" s="20"/>
      <c r="N83" s="20"/>
      <c r="O83" s="20"/>
      <c r="Q83" s="20"/>
      <c r="R83" s="20"/>
      <c r="T83" s="20"/>
    </row>
    <row r="84" spans="3:20" x14ac:dyDescent="0.25">
      <c r="C84" s="19"/>
      <c r="D84" s="19"/>
      <c r="E84" s="20"/>
      <c r="F84" s="20"/>
      <c r="G84" s="20"/>
      <c r="H84" s="20"/>
      <c r="I84" s="20"/>
      <c r="J84" s="20"/>
      <c r="N84" s="20"/>
      <c r="O84" s="20"/>
      <c r="Q84" s="20"/>
      <c r="R84" s="20"/>
      <c r="T84" s="20"/>
    </row>
    <row r="85" spans="3:20" x14ac:dyDescent="0.25">
      <c r="C85" s="19"/>
      <c r="D85" s="19"/>
      <c r="E85" s="20"/>
      <c r="F85" s="20"/>
      <c r="G85" s="20"/>
      <c r="H85" s="20"/>
      <c r="I85" s="20"/>
      <c r="J85" s="20"/>
      <c r="N85" s="30"/>
      <c r="O85" s="20"/>
      <c r="Q85" s="20"/>
      <c r="R85" s="20"/>
      <c r="T85" s="20"/>
    </row>
    <row r="86" spans="3:20" x14ac:dyDescent="0.25">
      <c r="C86" s="19"/>
      <c r="D86" s="19"/>
      <c r="E86" s="20"/>
      <c r="F86" s="20"/>
      <c r="G86" s="20"/>
      <c r="H86" s="20"/>
      <c r="I86" s="20"/>
      <c r="J86" s="20"/>
      <c r="N86" s="20"/>
      <c r="O86" s="20"/>
      <c r="Q86" s="20"/>
      <c r="R86" s="20"/>
      <c r="T86" s="20"/>
    </row>
    <row r="87" spans="3:20" x14ac:dyDescent="0.25">
      <c r="C87" s="19"/>
      <c r="D87" s="19"/>
      <c r="E87" s="20"/>
      <c r="F87" s="20"/>
      <c r="G87" s="20"/>
      <c r="H87" s="20"/>
      <c r="I87" s="20"/>
      <c r="J87" s="20"/>
      <c r="N87" s="20"/>
      <c r="O87" s="20"/>
      <c r="Q87" s="20"/>
      <c r="R87" s="20"/>
      <c r="T87" s="22"/>
    </row>
    <row r="88" spans="3:20" x14ac:dyDescent="0.25">
      <c r="C88" s="19"/>
      <c r="D88" s="19"/>
      <c r="E88" s="20"/>
      <c r="F88" s="20"/>
      <c r="G88" s="20"/>
      <c r="H88" s="20"/>
      <c r="I88" s="20"/>
      <c r="J88" s="20"/>
      <c r="N88" s="30"/>
      <c r="O88" s="20"/>
      <c r="Q88" s="20"/>
      <c r="R88" s="20"/>
      <c r="T88" s="20"/>
    </row>
    <row r="89" spans="3:20" x14ac:dyDescent="0.25">
      <c r="C89" s="19"/>
      <c r="D89" s="19"/>
      <c r="E89" s="20"/>
      <c r="F89" s="20"/>
      <c r="G89" s="20"/>
      <c r="H89" s="20"/>
      <c r="I89" s="20"/>
      <c r="J89" s="20"/>
      <c r="N89" s="20"/>
      <c r="O89" s="20"/>
      <c r="Q89" s="20"/>
      <c r="R89" s="20"/>
      <c r="T89" s="20"/>
    </row>
    <row r="90" spans="3:20" x14ac:dyDescent="0.25">
      <c r="C90" s="19"/>
      <c r="D90" s="19"/>
      <c r="E90" s="20"/>
      <c r="F90" s="20"/>
      <c r="G90" s="20"/>
      <c r="H90" s="20"/>
      <c r="I90" s="20"/>
      <c r="J90" s="20"/>
      <c r="N90" s="20"/>
      <c r="O90" s="20"/>
      <c r="Q90" s="20"/>
      <c r="R90" s="20"/>
      <c r="T90" s="20"/>
    </row>
    <row r="91" spans="3:20" x14ac:dyDescent="0.25">
      <c r="C91" s="19"/>
      <c r="D91" s="19"/>
      <c r="E91" s="20"/>
      <c r="F91" s="20"/>
      <c r="G91" s="20"/>
      <c r="H91" s="20"/>
      <c r="I91" s="20"/>
      <c r="J91" s="20"/>
      <c r="N91" s="20"/>
      <c r="O91" s="20"/>
      <c r="Q91" s="20"/>
      <c r="R91" s="20"/>
      <c r="T91" s="20"/>
    </row>
    <row r="92" spans="3:20" x14ac:dyDescent="0.25">
      <c r="C92" s="19"/>
      <c r="D92" s="19"/>
      <c r="E92" s="20"/>
      <c r="F92" s="20"/>
      <c r="G92" s="20"/>
      <c r="H92" s="20"/>
      <c r="I92" s="20"/>
      <c r="J92" s="20"/>
      <c r="N92" s="20"/>
      <c r="O92" s="20"/>
      <c r="Q92" s="20"/>
      <c r="R92" s="20"/>
      <c r="T92" s="20"/>
    </row>
    <row r="93" spans="3:20" x14ac:dyDescent="0.25">
      <c r="C93" s="19"/>
      <c r="D93" s="19"/>
      <c r="E93" s="20"/>
      <c r="F93" s="20"/>
      <c r="G93" s="20"/>
      <c r="H93" s="20"/>
      <c r="I93" s="20"/>
      <c r="J93" s="20"/>
      <c r="N93" s="20"/>
      <c r="O93" s="20"/>
      <c r="Q93" s="20"/>
      <c r="R93" s="20"/>
      <c r="T93" s="20"/>
    </row>
    <row r="94" spans="3:20" x14ac:dyDescent="0.25">
      <c r="C94" s="19"/>
      <c r="D94" s="19"/>
      <c r="E94" s="20"/>
      <c r="F94" s="20"/>
      <c r="G94" s="20"/>
      <c r="H94" s="20"/>
      <c r="I94" s="20"/>
      <c r="J94" s="20"/>
      <c r="N94" s="20"/>
      <c r="O94" s="20"/>
      <c r="Q94" s="20"/>
      <c r="R94" s="20"/>
      <c r="T94" s="20"/>
    </row>
    <row r="95" spans="3:20" x14ac:dyDescent="0.25">
      <c r="C95" s="19"/>
      <c r="D95" s="19"/>
      <c r="E95" s="20"/>
      <c r="F95" s="20"/>
      <c r="G95" s="20"/>
      <c r="H95" s="20"/>
      <c r="I95" s="20"/>
      <c r="J95" s="20"/>
      <c r="N95" s="20"/>
      <c r="O95" s="20"/>
      <c r="Q95" s="20"/>
      <c r="R95" s="20"/>
      <c r="T95" s="20"/>
    </row>
    <row r="96" spans="3:20" x14ac:dyDescent="0.25">
      <c r="C96" s="19"/>
      <c r="D96" s="19"/>
      <c r="E96" s="20"/>
      <c r="F96" s="20"/>
      <c r="G96" s="20"/>
      <c r="H96" s="20"/>
      <c r="I96" s="20"/>
      <c r="J96" s="20"/>
      <c r="N96" s="30"/>
      <c r="O96" s="20"/>
      <c r="Q96" s="20"/>
      <c r="R96" s="20"/>
      <c r="T96" s="20"/>
    </row>
    <row r="97" spans="1:24" x14ac:dyDescent="0.25">
      <c r="C97" s="19"/>
      <c r="D97" s="19"/>
      <c r="E97" s="20"/>
      <c r="F97" s="20"/>
      <c r="G97" s="20"/>
      <c r="H97" s="20"/>
      <c r="I97" s="20"/>
      <c r="J97" s="20"/>
      <c r="N97" s="20"/>
      <c r="O97" s="20"/>
      <c r="Q97" s="20"/>
      <c r="R97" s="20"/>
      <c r="T97" s="22"/>
    </row>
    <row r="98" spans="1:24" x14ac:dyDescent="0.25">
      <c r="C98" s="19"/>
      <c r="D98" s="19"/>
      <c r="E98" s="20"/>
      <c r="F98" s="20"/>
      <c r="G98" s="20"/>
      <c r="H98" s="20"/>
      <c r="I98" s="20"/>
      <c r="J98" s="20"/>
      <c r="N98" s="20"/>
      <c r="O98" s="20"/>
      <c r="Q98" s="20"/>
      <c r="R98" s="20"/>
      <c r="T98" s="20"/>
    </row>
    <row r="99" spans="1:24" x14ac:dyDescent="0.25">
      <c r="C99" s="19"/>
      <c r="D99" s="19"/>
      <c r="E99" s="20"/>
      <c r="F99" s="20"/>
      <c r="G99" s="20"/>
      <c r="H99" s="20"/>
      <c r="I99" s="20"/>
      <c r="J99" s="20"/>
      <c r="N99" s="30"/>
      <c r="O99" s="20"/>
      <c r="Q99" s="20"/>
      <c r="R99" s="20"/>
      <c r="T99" s="20"/>
    </row>
    <row r="100" spans="1:24" x14ac:dyDescent="0.25">
      <c r="C100" s="19"/>
      <c r="D100" s="19"/>
      <c r="E100" s="20"/>
      <c r="F100" s="20"/>
      <c r="G100" s="20"/>
      <c r="H100" s="20"/>
      <c r="I100" s="20"/>
      <c r="J100" s="20"/>
      <c r="N100" s="20"/>
      <c r="O100" s="20"/>
      <c r="Q100" s="20"/>
      <c r="R100" s="22"/>
      <c r="T100" s="22"/>
    </row>
    <row r="101" spans="1:24" x14ac:dyDescent="0.25">
      <c r="C101" s="19"/>
      <c r="D101" s="19"/>
      <c r="E101" s="20"/>
      <c r="F101" s="20"/>
      <c r="G101" s="20"/>
      <c r="H101" s="20"/>
      <c r="I101" s="20"/>
      <c r="J101" s="20"/>
      <c r="N101" s="30"/>
      <c r="O101" s="20"/>
      <c r="Q101" s="20"/>
      <c r="R101" s="20"/>
      <c r="T101" s="20"/>
    </row>
    <row r="102" spans="1:24" x14ac:dyDescent="0.25">
      <c r="C102" s="19"/>
      <c r="D102" s="19"/>
      <c r="E102" s="20"/>
      <c r="F102" s="20"/>
      <c r="G102" s="20"/>
      <c r="H102" s="20"/>
      <c r="I102" s="20"/>
      <c r="J102" s="20"/>
      <c r="N102" s="20"/>
      <c r="O102" s="20"/>
      <c r="Q102" s="20"/>
      <c r="R102" s="22"/>
      <c r="T102" s="22"/>
    </row>
    <row r="103" spans="1:24" x14ac:dyDescent="0.25">
      <c r="C103" s="19"/>
      <c r="D103" s="19"/>
      <c r="E103" s="20"/>
      <c r="F103" s="20"/>
      <c r="G103" s="20"/>
      <c r="H103" s="20"/>
      <c r="I103" s="20"/>
      <c r="J103" s="20"/>
      <c r="N103" s="20"/>
      <c r="O103" s="20"/>
      <c r="Q103" s="20"/>
      <c r="R103" s="20"/>
      <c r="T103" s="20"/>
    </row>
    <row r="104" spans="1:24" x14ac:dyDescent="0.25">
      <c r="A104" s="28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 spans="1:24" x14ac:dyDescent="0.25">
      <c r="A105" s="28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</row>
    <row r="106" spans="1:24" x14ac:dyDescent="0.25">
      <c r="A106" s="29"/>
    </row>
    <row r="107" spans="1:24" x14ac:dyDescent="0.25">
      <c r="A107" s="29"/>
    </row>
    <row r="108" spans="1:24" x14ac:dyDescent="0.25">
      <c r="A108" s="29"/>
    </row>
    <row r="109" spans="1:24" x14ac:dyDescent="0.25">
      <c r="A109" s="29"/>
    </row>
    <row r="110" spans="1:24" x14ac:dyDescent="0.25">
      <c r="A110" s="29"/>
    </row>
    <row r="111" spans="1:24" x14ac:dyDescent="0.25">
      <c r="A111" s="29"/>
    </row>
    <row r="112" spans="1:24" x14ac:dyDescent="0.25">
      <c r="A112" s="29"/>
    </row>
    <row r="113" spans="1:24" x14ac:dyDescent="0.25">
      <c r="A113" s="29"/>
    </row>
    <row r="114" spans="1:24" x14ac:dyDescent="0.25">
      <c r="A114" s="29"/>
    </row>
    <row r="115" spans="1:24" x14ac:dyDescent="0.25">
      <c r="A115" s="29"/>
    </row>
    <row r="116" spans="1:24" x14ac:dyDescent="0.25">
      <c r="A116" s="29"/>
      <c r="H116" s="39"/>
      <c r="I116" s="40"/>
    </row>
    <row r="117" spans="1:24" x14ac:dyDescent="0.25">
      <c r="A117" s="31"/>
      <c r="B117" s="2"/>
      <c r="C117" s="2"/>
      <c r="D117" s="2"/>
      <c r="E117" s="2"/>
      <c r="F117" s="2"/>
      <c r="G117" s="2"/>
      <c r="H117" s="41"/>
      <c r="I117" s="4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</sheetData>
  <mergeCells count="11">
    <mergeCell ref="H116:I116"/>
    <mergeCell ref="H117:I117"/>
    <mergeCell ref="A5:A6"/>
    <mergeCell ref="B5:B6"/>
    <mergeCell ref="E5:J5"/>
    <mergeCell ref="K5:M5"/>
    <mergeCell ref="O5:Q5"/>
    <mergeCell ref="X5:X6"/>
    <mergeCell ref="R5:T5"/>
    <mergeCell ref="U5:V5"/>
    <mergeCell ref="W5:W6"/>
  </mergeCells>
  <phoneticPr fontId="0" type="noConversion"/>
  <pageMargins left="1.5748031496062993" right="0.39370078740157483" top="0.78740157480314965" bottom="0.78740157480314965" header="0.51181102362204722" footer="0.31496062992125984"/>
  <pageSetup paperSize="8" scale="84" fitToHeight="100" orientation="landscape" r:id="rId1"/>
  <headerFooter alignWithMargins="0">
    <oddHeader>&amp;RСтраница &amp;P
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УКПГ1АС</vt:lpstr>
      <vt:lpstr>УКПГ1</vt:lpstr>
      <vt:lpstr>УКПГ2</vt:lpstr>
      <vt:lpstr>УКПГ3</vt:lpstr>
      <vt:lpstr>УКПГ1!Заголовки_для_печати</vt:lpstr>
      <vt:lpstr>УКПГ1АС!Заголовки_для_печати</vt:lpstr>
      <vt:lpstr>УКПГ2!Заголовки_для_печати</vt:lpstr>
      <vt:lpstr>УКПГ3!Заголовки_для_печати</vt:lpstr>
    </vt:vector>
  </TitlesOfParts>
  <Company>UUGA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Шафранович Ольга Алексеевна</dc:creator>
  <cp:lastModifiedBy>Елена Малюхина</cp:lastModifiedBy>
  <cp:lastPrinted>2019-01-24T12:14:16Z</cp:lastPrinted>
  <dcterms:created xsi:type="dcterms:W3CDTF">2006-10-04T05:45:24Z</dcterms:created>
  <dcterms:modified xsi:type="dcterms:W3CDTF">2024-03-06T10:47:32Z</dcterms:modified>
</cp:coreProperties>
</file>