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M3" i="1"/>
  <c r="L3" i="1"/>
  <c r="L2" i="1"/>
  <c r="M2" i="1" s="1"/>
  <c r="I2" i="1"/>
  <c r="J3" i="1" s="1"/>
  <c r="J58" i="1"/>
  <c r="E5" i="2"/>
  <c r="E6" i="2"/>
  <c r="E7" i="2"/>
  <c r="E8" i="2"/>
  <c r="E9" i="2"/>
  <c r="E10" i="2"/>
  <c r="E11" i="2"/>
  <c r="E12" i="2"/>
  <c r="E13" i="2"/>
  <c r="Z13" i="2" s="1"/>
  <c r="E14" i="2"/>
  <c r="AA14" i="2" s="1"/>
  <c r="E15" i="2"/>
  <c r="AA15" i="2" s="1"/>
  <c r="E16" i="2"/>
  <c r="Y16" i="2" s="1"/>
  <c r="E17" i="2"/>
  <c r="AA17" i="2" s="1"/>
  <c r="E18" i="2"/>
  <c r="AA18" i="2" s="1"/>
  <c r="E19" i="2"/>
  <c r="Y19" i="2" s="1"/>
  <c r="E20" i="2"/>
  <c r="Y20" i="2" s="1"/>
  <c r="E21" i="2"/>
  <c r="E22" i="2"/>
  <c r="E4" i="2"/>
  <c r="E3" i="2"/>
  <c r="E2" i="2"/>
  <c r="Y2" i="2" s="1"/>
  <c r="Y3" i="2"/>
  <c r="Y7" i="2"/>
  <c r="Y8" i="2"/>
  <c r="AA12" i="2"/>
  <c r="Z6" i="2"/>
  <c r="Z10" i="2"/>
  <c r="AA11" i="2"/>
  <c r="Z12" i="2"/>
  <c r="AA4" i="2"/>
  <c r="AA5" i="2"/>
  <c r="AA6" i="2"/>
  <c r="AA9" i="2"/>
  <c r="AA21" i="2"/>
  <c r="AA22" i="2"/>
  <c r="Z4" i="2"/>
  <c r="Z5" i="2"/>
  <c r="Z9" i="2"/>
  <c r="Z21" i="2"/>
  <c r="Z22" i="2"/>
  <c r="Y4" i="2"/>
  <c r="Y5" i="2"/>
  <c r="Y6" i="2"/>
  <c r="Y9" i="2"/>
  <c r="Y10" i="2"/>
  <c r="Y11" i="2"/>
  <c r="Y21" i="2"/>
  <c r="Y22" i="2"/>
  <c r="T2" i="1"/>
  <c r="S2" i="1"/>
  <c r="R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3" i="2"/>
  <c r="V3" i="2"/>
  <c r="Q3" i="2"/>
  <c r="Q2" i="2"/>
  <c r="P2" i="2"/>
  <c r="P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U2" i="2"/>
  <c r="T2" i="2"/>
  <c r="S2" i="2"/>
  <c r="O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O2" i="2" s="1"/>
  <c r="L4" i="2"/>
  <c r="L5" i="2" s="1"/>
  <c r="K4" i="2"/>
  <c r="J3" i="2"/>
  <c r="I3" i="2"/>
  <c r="I4" i="2"/>
  <c r="J4" i="2" s="1"/>
  <c r="H2" i="2"/>
  <c r="H3" i="2"/>
  <c r="G3" i="2"/>
  <c r="K3" i="2"/>
  <c r="L3" i="2"/>
  <c r="J2" i="2"/>
  <c r="I2" i="2"/>
  <c r="G2" i="2"/>
  <c r="D2" i="2"/>
  <c r="D3" i="2" s="1"/>
  <c r="C2" i="2"/>
  <c r="C3" i="2" s="1"/>
  <c r="C4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B24" i="1"/>
  <c r="E2" i="1"/>
  <c r="F2" i="1" s="1"/>
  <c r="C3" i="1" s="1"/>
  <c r="N2" i="1" l="1"/>
  <c r="O2" i="1" s="1"/>
  <c r="I3" i="1"/>
  <c r="J4" i="1" s="1"/>
  <c r="H4" i="1" s="1"/>
  <c r="S3" i="1"/>
  <c r="Z20" i="2"/>
  <c r="AA20" i="2"/>
  <c r="Z3" i="2"/>
  <c r="Z19" i="2"/>
  <c r="AA19" i="2"/>
  <c r="AA3" i="2"/>
  <c r="AA13" i="2"/>
  <c r="Z11" i="2"/>
  <c r="AA10" i="2"/>
  <c r="Z8" i="2"/>
  <c r="Z7" i="2"/>
  <c r="AA8" i="2"/>
  <c r="Y18" i="2"/>
  <c r="Z18" i="2"/>
  <c r="AA7" i="2"/>
  <c r="Y13" i="2"/>
  <c r="Z17" i="2"/>
  <c r="Y17" i="2"/>
  <c r="Y15" i="2"/>
  <c r="Y14" i="2"/>
  <c r="Y12" i="2"/>
  <c r="Z16" i="2"/>
  <c r="Z15" i="2"/>
  <c r="AA16" i="2"/>
  <c r="Z14" i="2"/>
  <c r="Z2" i="2"/>
  <c r="AA2" i="2"/>
  <c r="Q4" i="2"/>
  <c r="O4" i="2"/>
  <c r="P4" i="2"/>
  <c r="H4" i="2"/>
  <c r="G4" i="2"/>
  <c r="K5" i="2" s="1"/>
  <c r="L6" i="2" s="1"/>
  <c r="E3" i="1"/>
  <c r="F3" i="1"/>
  <c r="D4" i="2"/>
  <c r="D5" i="2" s="1"/>
  <c r="C4" i="1"/>
  <c r="P3" i="1" l="1"/>
  <c r="I4" i="1"/>
  <c r="J5" i="1" s="1"/>
  <c r="H5" i="1" s="1"/>
  <c r="S4" i="1"/>
  <c r="Y23" i="2"/>
  <c r="AA23" i="2"/>
  <c r="Z23" i="2"/>
  <c r="Q5" i="2"/>
  <c r="P5" i="2"/>
  <c r="O5" i="2"/>
  <c r="I5" i="2"/>
  <c r="J5" i="2" s="1"/>
  <c r="G5" i="2"/>
  <c r="E4" i="1"/>
  <c r="C5" i="2"/>
  <c r="C6" i="2" s="1"/>
  <c r="T3" i="1" l="1"/>
  <c r="I5" i="1"/>
  <c r="J6" i="1" s="1"/>
  <c r="H6" i="1" s="1"/>
  <c r="S5" i="1"/>
  <c r="I6" i="2"/>
  <c r="J6" i="2" s="1"/>
  <c r="H5" i="2"/>
  <c r="K6" i="2" s="1"/>
  <c r="L7" i="2" s="1"/>
  <c r="G6" i="2"/>
  <c r="N3" i="1"/>
  <c r="O3" i="1" s="1"/>
  <c r="F4" i="1"/>
  <c r="C5" i="1" s="1"/>
  <c r="D6" i="2"/>
  <c r="O6" i="2" l="1"/>
  <c r="P6" i="2"/>
  <c r="Q6" i="2"/>
  <c r="H6" i="2"/>
  <c r="P4" i="1"/>
  <c r="E5" i="1"/>
  <c r="C7" i="2"/>
  <c r="D7" i="2"/>
  <c r="L4" i="1" l="1"/>
  <c r="M4" i="1" s="1"/>
  <c r="N4" i="1" s="1"/>
  <c r="O4" i="1" s="1"/>
  <c r="P5" i="1" s="1"/>
  <c r="I6" i="1"/>
  <c r="J7" i="1" s="1"/>
  <c r="H7" i="1" s="1"/>
  <c r="S6" i="1"/>
  <c r="T4" i="1"/>
  <c r="Q7" i="2"/>
  <c r="O7" i="2"/>
  <c r="P7" i="2"/>
  <c r="K7" i="2"/>
  <c r="L8" i="2" s="1"/>
  <c r="G7" i="2"/>
  <c r="I7" i="2"/>
  <c r="J7" i="2" s="1"/>
  <c r="F5" i="1"/>
  <c r="C6" i="1" s="1"/>
  <c r="C8" i="2"/>
  <c r="D8" i="2"/>
  <c r="L5" i="1" l="1"/>
  <c r="M5" i="1"/>
  <c r="T5" i="1"/>
  <c r="S7" i="1"/>
  <c r="I7" i="1"/>
  <c r="J8" i="1" s="1"/>
  <c r="H8" i="1" s="1"/>
  <c r="Q8" i="2"/>
  <c r="P8" i="2"/>
  <c r="O8" i="2"/>
  <c r="H7" i="2"/>
  <c r="N5" i="1"/>
  <c r="E6" i="1"/>
  <c r="C9" i="2"/>
  <c r="D9" i="2"/>
  <c r="S8" i="1" l="1"/>
  <c r="I8" i="1"/>
  <c r="J9" i="1" s="1"/>
  <c r="H9" i="1" s="1"/>
  <c r="I8" i="2"/>
  <c r="J8" i="2"/>
  <c r="G8" i="2"/>
  <c r="K8" i="2"/>
  <c r="L9" i="2" s="1"/>
  <c r="H8" i="2"/>
  <c r="O5" i="1"/>
  <c r="P6" i="1" s="1"/>
  <c r="F6" i="1"/>
  <c r="C7" i="1" s="1"/>
  <c r="C10" i="2"/>
  <c r="D10" i="2"/>
  <c r="D11" i="2" s="1"/>
  <c r="L6" i="1" l="1"/>
  <c r="M6" i="1"/>
  <c r="N6" i="1" s="1"/>
  <c r="T6" i="1"/>
  <c r="Q9" i="2"/>
  <c r="O9" i="2"/>
  <c r="P9" i="2"/>
  <c r="K9" i="2"/>
  <c r="L10" i="2" s="1"/>
  <c r="E7" i="1"/>
  <c r="C11" i="2"/>
  <c r="D12" i="2"/>
  <c r="C12" i="2"/>
  <c r="S9" i="1" l="1"/>
  <c r="I9" i="1"/>
  <c r="J10" i="1" s="1"/>
  <c r="H10" i="1" s="1"/>
  <c r="G9" i="2"/>
  <c r="I9" i="2"/>
  <c r="J9" i="2" s="1"/>
  <c r="O6" i="1"/>
  <c r="P7" i="1" s="1"/>
  <c r="F7" i="1"/>
  <c r="C8" i="1" s="1"/>
  <c r="D13" i="2"/>
  <c r="C13" i="2"/>
  <c r="C14" i="2" s="1"/>
  <c r="L7" i="1" l="1"/>
  <c r="M7" i="1" s="1"/>
  <c r="N7" i="1" s="1"/>
  <c r="O7" i="1" s="1"/>
  <c r="T7" i="1"/>
  <c r="I10" i="1"/>
  <c r="J11" i="1" s="1"/>
  <c r="H11" i="1" s="1"/>
  <c r="P10" i="2"/>
  <c r="O10" i="2"/>
  <c r="Q10" i="2"/>
  <c r="I10" i="2"/>
  <c r="G10" i="2"/>
  <c r="H9" i="2"/>
  <c r="K10" i="2" s="1"/>
  <c r="L11" i="2" s="1"/>
  <c r="E8" i="1"/>
  <c r="D14" i="2"/>
  <c r="D15" i="2" s="1"/>
  <c r="S10" i="1" l="1"/>
  <c r="Q11" i="2"/>
  <c r="O11" i="2"/>
  <c r="P11" i="2"/>
  <c r="J10" i="2"/>
  <c r="H10" i="2" s="1"/>
  <c r="K11" i="2" s="1"/>
  <c r="L12" i="2" s="1"/>
  <c r="P8" i="1"/>
  <c r="F8" i="1"/>
  <c r="C9" i="1" s="1"/>
  <c r="C15" i="2"/>
  <c r="C16" i="2" s="1"/>
  <c r="L8" i="1" l="1"/>
  <c r="M8" i="1" s="1"/>
  <c r="N8" i="1" s="1"/>
  <c r="O8" i="1" s="1"/>
  <c r="T8" i="1"/>
  <c r="S11" i="1"/>
  <c r="I11" i="1"/>
  <c r="J12" i="1" s="1"/>
  <c r="H12" i="1" s="1"/>
  <c r="P12" i="2"/>
  <c r="O12" i="2"/>
  <c r="Q12" i="2"/>
  <c r="G11" i="2"/>
  <c r="I11" i="2"/>
  <c r="E9" i="1"/>
  <c r="D16" i="2"/>
  <c r="J11" i="2" l="1"/>
  <c r="H11" i="2"/>
  <c r="K12" i="2" s="1"/>
  <c r="L13" i="2" s="1"/>
  <c r="I12" i="2"/>
  <c r="G12" i="2"/>
  <c r="P9" i="1"/>
  <c r="F9" i="1"/>
  <c r="C10" i="1" s="1"/>
  <c r="C17" i="2"/>
  <c r="D17" i="2"/>
  <c r="D18" i="2" s="1"/>
  <c r="L9" i="1" l="1"/>
  <c r="M9" i="1" s="1"/>
  <c r="N9" i="1" s="1"/>
  <c r="T9" i="1"/>
  <c r="S12" i="1"/>
  <c r="I12" i="1"/>
  <c r="J13" i="1" s="1"/>
  <c r="H13" i="1" s="1"/>
  <c r="O13" i="2"/>
  <c r="Q13" i="2"/>
  <c r="P13" i="2"/>
  <c r="J12" i="2"/>
  <c r="H12" i="2" s="1"/>
  <c r="K13" i="2" s="1"/>
  <c r="L14" i="2" s="1"/>
  <c r="E10" i="1"/>
  <c r="C18" i="2"/>
  <c r="I13" i="1" l="1"/>
  <c r="J14" i="1" s="1"/>
  <c r="H14" i="1" s="1"/>
  <c r="S13" i="1"/>
  <c r="G13" i="2"/>
  <c r="I13" i="2"/>
  <c r="O9" i="1"/>
  <c r="P10" i="1" s="1"/>
  <c r="F10" i="1"/>
  <c r="C11" i="1" s="1"/>
  <c r="C19" i="2"/>
  <c r="D19" i="2"/>
  <c r="D20" i="2" s="1"/>
  <c r="L10" i="1" l="1"/>
  <c r="M10" i="1" s="1"/>
  <c r="N10" i="1" s="1"/>
  <c r="T10" i="1"/>
  <c r="S14" i="1"/>
  <c r="I14" i="1"/>
  <c r="J15" i="1" s="1"/>
  <c r="H15" i="1" s="1"/>
  <c r="P14" i="2"/>
  <c r="Q14" i="2"/>
  <c r="O14" i="2"/>
  <c r="I14" i="2"/>
  <c r="J14" i="2" s="1"/>
  <c r="G14" i="2"/>
  <c r="J13" i="2"/>
  <c r="H13" i="2" s="1"/>
  <c r="K14" i="2" s="1"/>
  <c r="L15" i="2" s="1"/>
  <c r="E11" i="1"/>
  <c r="C20" i="2"/>
  <c r="C21" i="2" s="1"/>
  <c r="P15" i="2" l="1"/>
  <c r="Q15" i="2"/>
  <c r="O15" i="2"/>
  <c r="H14" i="2"/>
  <c r="O10" i="1"/>
  <c r="P11" i="1" s="1"/>
  <c r="F11" i="1"/>
  <c r="C12" i="1" s="1"/>
  <c r="D21" i="2"/>
  <c r="D22" i="2" s="1"/>
  <c r="L11" i="1" l="1"/>
  <c r="M11" i="1"/>
  <c r="T11" i="1"/>
  <c r="S15" i="1"/>
  <c r="I15" i="1"/>
  <c r="J16" i="1" s="1"/>
  <c r="H16" i="1" s="1"/>
  <c r="I15" i="2"/>
  <c r="G15" i="2"/>
  <c r="K15" i="2"/>
  <c r="L16" i="2" s="1"/>
  <c r="N11" i="1"/>
  <c r="O11" i="1" s="1"/>
  <c r="E12" i="1"/>
  <c r="C22" i="2"/>
  <c r="Q16" i="2" l="1"/>
  <c r="O16" i="2"/>
  <c r="P16" i="2"/>
  <c r="I16" i="2"/>
  <c r="J16" i="2"/>
  <c r="G16" i="2"/>
  <c r="J15" i="2"/>
  <c r="H15" i="2" s="1"/>
  <c r="P12" i="1"/>
  <c r="F12" i="1"/>
  <c r="C13" i="1" s="1"/>
  <c r="L12" i="1" l="1"/>
  <c r="M12" i="1"/>
  <c r="T12" i="1"/>
  <c r="S16" i="1"/>
  <c r="I16" i="1"/>
  <c r="J17" i="1" s="1"/>
  <c r="H17" i="1" s="1"/>
  <c r="Q17" i="2"/>
  <c r="P17" i="2"/>
  <c r="O17" i="2"/>
  <c r="K16" i="2"/>
  <c r="L17" i="2" s="1"/>
  <c r="H16" i="2"/>
  <c r="E13" i="1"/>
  <c r="S17" i="1" l="1"/>
  <c r="I17" i="1"/>
  <c r="J18" i="1" s="1"/>
  <c r="H18" i="1" s="1"/>
  <c r="I17" i="2"/>
  <c r="G17" i="2"/>
  <c r="J17" i="2"/>
  <c r="K17" i="2"/>
  <c r="L18" i="2" s="1"/>
  <c r="N12" i="1"/>
  <c r="F13" i="1"/>
  <c r="C14" i="1" s="1"/>
  <c r="I18" i="1" l="1"/>
  <c r="J19" i="1" s="1"/>
  <c r="H19" i="1" s="1"/>
  <c r="S18" i="1"/>
  <c r="Q18" i="2"/>
  <c r="P18" i="2"/>
  <c r="O18" i="2"/>
  <c r="H17" i="2"/>
  <c r="K18" i="2" s="1"/>
  <c r="L19" i="2" s="1"/>
  <c r="O12" i="1"/>
  <c r="P13" i="1" s="1"/>
  <c r="E14" i="1"/>
  <c r="L13" i="1" l="1"/>
  <c r="M13" i="1"/>
  <c r="S19" i="1"/>
  <c r="I19" i="1"/>
  <c r="J20" i="1" s="1"/>
  <c r="H20" i="1" s="1"/>
  <c r="N13" i="1"/>
  <c r="O13" i="1" s="1"/>
  <c r="T13" i="1"/>
  <c r="G18" i="2"/>
  <c r="I18" i="2"/>
  <c r="F14" i="1"/>
  <c r="C15" i="1" s="1"/>
  <c r="O19" i="2" l="1"/>
  <c r="Q19" i="2"/>
  <c r="P19" i="2"/>
  <c r="G19" i="2"/>
  <c r="I19" i="2"/>
  <c r="J18" i="2"/>
  <c r="H18" i="2" s="1"/>
  <c r="K19" i="2" s="1"/>
  <c r="L20" i="2" s="1"/>
  <c r="P14" i="1"/>
  <c r="E15" i="1"/>
  <c r="L14" i="1" l="1"/>
  <c r="M14" i="1" s="1"/>
  <c r="T14" i="1"/>
  <c r="S20" i="1"/>
  <c r="I20" i="1"/>
  <c r="J21" i="1" s="1"/>
  <c r="H21" i="1" s="1"/>
  <c r="J19" i="2"/>
  <c r="H19" i="2"/>
  <c r="K20" i="2" s="1"/>
  <c r="L21" i="2" s="1"/>
  <c r="F15" i="1"/>
  <c r="C16" i="1" s="1"/>
  <c r="P20" i="2" l="1"/>
  <c r="O20" i="2"/>
  <c r="Q20" i="2"/>
  <c r="I20" i="2"/>
  <c r="G20" i="2"/>
  <c r="N14" i="1"/>
  <c r="E16" i="1"/>
  <c r="S21" i="1" l="1"/>
  <c r="I21" i="1"/>
  <c r="J22" i="1" s="1"/>
  <c r="H22" i="1" s="1"/>
  <c r="I21" i="2"/>
  <c r="J21" i="2" s="1"/>
  <c r="G21" i="2"/>
  <c r="J20" i="2"/>
  <c r="H20" i="2" s="1"/>
  <c r="O14" i="1"/>
  <c r="P15" i="1" s="1"/>
  <c r="F16" i="1"/>
  <c r="C17" i="1" s="1"/>
  <c r="L15" i="1" l="1"/>
  <c r="M15" i="1"/>
  <c r="T15" i="1"/>
  <c r="I22" i="1"/>
  <c r="S22" i="1"/>
  <c r="S23" i="1" s="1"/>
  <c r="O21" i="2"/>
  <c r="Q21" i="2"/>
  <c r="P21" i="2"/>
  <c r="K21" i="2"/>
  <c r="L22" i="2" s="1"/>
  <c r="H21" i="2"/>
  <c r="N15" i="1"/>
  <c r="O15" i="1" s="1"/>
  <c r="E17" i="1"/>
  <c r="K22" i="2" l="1"/>
  <c r="P16" i="1"/>
  <c r="F17" i="1"/>
  <c r="C18" i="1" s="1"/>
  <c r="L16" i="1" l="1"/>
  <c r="M16" i="1" s="1"/>
  <c r="T16" i="1"/>
  <c r="P22" i="2"/>
  <c r="Q22" i="2"/>
  <c r="O22" i="2"/>
  <c r="G22" i="2"/>
  <c r="I22" i="2"/>
  <c r="J22" i="2" s="1"/>
  <c r="E18" i="1"/>
  <c r="H22" i="2" l="1"/>
  <c r="N16" i="1"/>
  <c r="F18" i="1"/>
  <c r="C19" i="1" s="1"/>
  <c r="O16" i="1" l="1"/>
  <c r="P17" i="1" s="1"/>
  <c r="E19" i="1"/>
  <c r="L17" i="1" l="1"/>
  <c r="M17" i="1"/>
  <c r="T17" i="1"/>
  <c r="N17" i="1"/>
  <c r="O17" i="1" s="1"/>
  <c r="F19" i="1"/>
  <c r="C20" i="1" s="1"/>
  <c r="P18" i="1" l="1"/>
  <c r="E20" i="1"/>
  <c r="L18" i="1" l="1"/>
  <c r="M18" i="1"/>
  <c r="T18" i="1"/>
  <c r="F20" i="1"/>
  <c r="C21" i="1" s="1"/>
  <c r="N18" i="1" l="1"/>
  <c r="O18" i="1" s="1"/>
  <c r="P19" i="1" s="1"/>
  <c r="E21" i="1"/>
  <c r="L19" i="1" l="1"/>
  <c r="M19" i="1" s="1"/>
  <c r="N19" i="1" s="1"/>
  <c r="O19" i="1" s="1"/>
  <c r="T19" i="1"/>
  <c r="F21" i="1"/>
  <c r="C22" i="1" s="1"/>
  <c r="P20" i="1" l="1"/>
  <c r="E22" i="1"/>
  <c r="L20" i="1" l="1"/>
  <c r="M20" i="1" s="1"/>
  <c r="N20" i="1" s="1"/>
  <c r="O20" i="1" s="1"/>
  <c r="T20" i="1"/>
  <c r="F22" i="1"/>
  <c r="P21" i="1" l="1"/>
  <c r="L21" i="1" l="1"/>
  <c r="M21" i="1"/>
  <c r="N21" i="1" s="1"/>
  <c r="O21" i="1" s="1"/>
  <c r="T21" i="1"/>
  <c r="P22" i="1" l="1"/>
  <c r="L22" i="1" l="1"/>
  <c r="M22" i="1" s="1"/>
  <c r="N22" i="1" s="1"/>
  <c r="O22" i="1" s="1"/>
  <c r="T22" i="1"/>
  <c r="T23" i="1" s="1"/>
</calcChain>
</file>

<file path=xl/sharedStrings.xml><?xml version="1.0" encoding="utf-8"?>
<sst xmlns="http://schemas.openxmlformats.org/spreadsheetml/2006/main" count="48" uniqueCount="27">
  <si>
    <t>i</t>
  </si>
  <si>
    <t>xi</t>
  </si>
  <si>
    <t>ui</t>
  </si>
  <si>
    <t>f(xi; ui)</t>
  </si>
  <si>
    <t>H * f(xi;yi)</t>
  </si>
  <si>
    <t xml:space="preserve">H = </t>
  </si>
  <si>
    <t>uiточ.</t>
  </si>
  <si>
    <t>A =</t>
  </si>
  <si>
    <t>B =</t>
  </si>
  <si>
    <t>u1i</t>
  </si>
  <si>
    <t>u2i</t>
  </si>
  <si>
    <t>p(x) =</t>
  </si>
  <si>
    <t>g(x) =</t>
  </si>
  <si>
    <t>q(x) =</t>
  </si>
  <si>
    <t>6e^x</t>
  </si>
  <si>
    <t>u1iточ</t>
  </si>
  <si>
    <t>k1</t>
  </si>
  <si>
    <t>l1</t>
  </si>
  <si>
    <t>k2</t>
  </si>
  <si>
    <t>l2</t>
  </si>
  <si>
    <t>k3</t>
  </si>
  <si>
    <t>k4</t>
  </si>
  <si>
    <t>l3</t>
  </si>
  <si>
    <t>l4</t>
  </si>
  <si>
    <t>Ошибка Эйлера</t>
  </si>
  <si>
    <t>Ошибка Рунге-Кутта 2-го порядка</t>
  </si>
  <si>
    <t>Ошибка Рунге-Кутта 4-го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</si>
</sst>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5" fillId="2" borderId="1" xfId="0" applyFont="1" applyFill="1" applyBorder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left"/>
    </xf>
    <xf numFmtId="0" fontId="1" fillId="2" borderId="2" xfId="0" applyFont="1" applyFill="1" applyBorder="1"/>
  </cellXfs>
  <cellStyles count="1">
    <cellStyle name="Обычный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 и точный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Метод Эйлера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0.21108856663526052</c:v>
                </c:pt>
                <c:pt idx="3">
                  <c:v>0.33448862064894913</c:v>
                </c:pt>
                <c:pt idx="4">
                  <c:v>0.47154925962630678</c:v>
                </c:pt>
                <c:pt idx="5">
                  <c:v>0.62375646930905559</c:v>
                </c:pt>
                <c:pt idx="6">
                  <c:v>0.7927445962862949</c:v>
                </c:pt>
                <c:pt idx="7">
                  <c:v>0.98030880527982545</c:v>
                </c:pt>
                <c:pt idx="8">
                  <c:v>1.1884188508853533</c:v>
                </c:pt>
                <c:pt idx="9">
                  <c:v>1.4192346140411307</c:v>
                </c:pt>
                <c:pt idx="10">
                  <c:v>1.6751239732667056</c:v>
                </c:pt>
                <c:pt idx="11">
                  <c:v>1.9586836774650704</c:v>
                </c:pt>
                <c:pt idx="12">
                  <c:v>2.2727639318585808</c:v>
                </c:pt>
                <c:pt idx="13">
                  <c:v>2.6204973707678483</c:v>
                </c:pt>
                <c:pt idx="14">
                  <c:v>3.0053329472616719</c:v>
                </c:pt>
                <c:pt idx="15">
                  <c:v>3.4310750175621028</c:v>
                </c:pt>
                <c:pt idx="16">
                  <c:v>3.9019275693090636</c:v>
                </c:pt>
                <c:pt idx="17">
                  <c:v>4.4225432121770982</c:v>
                </c:pt>
                <c:pt idx="18">
                  <c:v>4.9980763288070333</c:v>
                </c:pt>
                <c:pt idx="19">
                  <c:v>5.6342397942238485</c:v>
                </c:pt>
                <c:pt idx="20">
                  <c:v>6.3373649908869378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68C-9CE0-D4AC714F0E67}"/>
            </c:ext>
          </c:extLst>
        </c:ser>
        <c:ser>
          <c:idx val="1"/>
          <c:order val="1"/>
          <c:tx>
            <c:v>Точная функция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7-468C-9CE0-D4AC714F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48720"/>
        <c:axId val="1339660368"/>
      </c:scatterChart>
      <c:valAx>
        <c:axId val="1339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60368"/>
        <c:crosses val="autoZero"/>
        <c:crossBetween val="midCat"/>
        <c:majorUnit val="5.000000000000001E-2"/>
      </c:valAx>
      <c:valAx>
        <c:axId val="1339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487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</a:t>
            </a:r>
            <a:r>
              <a:rPr lang="ru-RU" baseline="0"/>
              <a:t> Рунге-Кутта и точный график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1'!$J$2:$J$22</c:f>
              <c:numCache>
                <c:formatCode>General</c:formatCode>
                <c:ptCount val="21"/>
                <c:pt idx="0">
                  <c:v>0</c:v>
                </c:pt>
                <c:pt idx="1">
                  <c:v>0.11051709180756478</c:v>
                </c:pt>
                <c:pt idx="2">
                  <c:v>0.23259883221677705</c:v>
                </c:pt>
                <c:pt idx="3">
                  <c:v>0.36729285859640787</c:v>
                </c:pt>
                <c:pt idx="4">
                  <c:v>0.51568939036691552</c:v>
                </c:pt>
                <c:pt idx="5">
                  <c:v>0.67890742514698155</c:v>
                </c:pt>
                <c:pt idx="6">
                  <c:v>0.85807490159924871</c:v>
                </c:pt>
                <c:pt idx="7">
                  <c:v>1.0542996527442399</c:v>
                </c:pt>
                <c:pt idx="8">
                  <c:v>1.2686250907950343</c:v>
                </c:pt>
                <c:pt idx="9">
                  <c:v>1.5019590096470883</c:v>
                </c:pt>
                <c:pt idx="10">
                  <c:v>1.7549532707380784</c:v>
                </c:pt>
                <c:pt idx="11">
                  <c:v>2.0277915732855369</c:v>
                </c:pt>
                <c:pt idx="12">
                  <c:v>2.319801338619</c:v>
                </c:pt>
                <c:pt idx="13">
                  <c:v>2.6287189992857916</c:v>
                </c:pt>
                <c:pt idx="14">
                  <c:v>2.9492432371036972</c:v>
                </c:pt>
                <c:pt idx="15">
                  <c:v>3.2700406667980269</c:v>
                </c:pt>
                <c:pt idx="16">
                  <c:v>3.5671387744842349</c:v>
                </c:pt>
                <c:pt idx="17">
                  <c:v>3.7881167570871108</c:v>
                </c:pt>
                <c:pt idx="18">
                  <c:v>3.8103075513441862</c:v>
                </c:pt>
                <c:pt idx="19">
                  <c:v>3.3170412546217332</c:v>
                </c:pt>
                <c:pt idx="20">
                  <c:v>1.4180370684075665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42F3-B6F0-6C3C7B9BB420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0.10517127086200984</c:v>
                </c:pt>
                <c:pt idx="2">
                  <c:v>0.22140355842473392</c:v>
                </c:pt>
                <c:pt idx="3">
                  <c:v>0.34986018491615678</c:v>
                </c:pt>
                <c:pt idx="4">
                  <c:v>0.49182683048682851</c:v>
                </c:pt>
                <c:pt idx="5">
                  <c:v>0.6487244058491668</c:v>
                </c:pt>
                <c:pt idx="6">
                  <c:v>0.82212328042040339</c:v>
                </c:pt>
                <c:pt idx="7">
                  <c:v>1.0137590092156485</c:v>
                </c:pt>
                <c:pt idx="8">
                  <c:v>1.2255497170908849</c:v>
                </c:pt>
                <c:pt idx="9">
                  <c:v>1.4596153160284773</c:v>
                </c:pt>
                <c:pt idx="10">
                  <c:v>1.7182987502292282</c:v>
                </c:pt>
                <c:pt idx="11">
                  <c:v>2.0041894851161834</c:v>
                </c:pt>
                <c:pt idx="12">
                  <c:v>2.3201494803279932</c:v>
                </c:pt>
                <c:pt idx="13">
                  <c:v>2.6693419138439909</c:v>
                </c:pt>
                <c:pt idx="14">
                  <c:v>3.0552629551404862</c:v>
                </c:pt>
                <c:pt idx="15">
                  <c:v>3.4817769205358893</c:v>
                </c:pt>
                <c:pt idx="16">
                  <c:v>3.9531551847594608</c:v>
                </c:pt>
                <c:pt idx="17">
                  <c:v>4.4741192708737092</c:v>
                </c:pt>
                <c:pt idx="18">
                  <c:v>5.0498885983618598</c:v>
                </c:pt>
                <c:pt idx="19">
                  <c:v>5.6862334401060517</c:v>
                </c:pt>
                <c:pt idx="20">
                  <c:v>6.3895337289959029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2F3-B6F0-6C3C7B9BB420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2F3-B6F0-6C3C7B9B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28752"/>
        <c:axId val="1465731664"/>
      </c:scatterChart>
      <c:valAx>
        <c:axId val="1465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31664"/>
        <c:crosses val="autoZero"/>
        <c:crossBetween val="midCat"/>
        <c:majorUnit val="5.000000000000001E-2"/>
      </c:valAx>
      <c:valAx>
        <c:axId val="1465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287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График методом Эйлера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4.1500000000000004</c:v>
                </c:pt>
                <c:pt idx="3">
                  <c:v>4.9713102550845392</c:v>
                </c:pt>
                <c:pt idx="4">
                  <c:v>5.9904046756586879</c:v>
                </c:pt>
                <c:pt idx="5">
                  <c:v>7.2396299323399331</c:v>
                </c:pt>
                <c:pt idx="6">
                  <c:v>8.7580768111494152</c:v>
                </c:pt>
                <c:pt idx="7">
                  <c:v>10.592635864171104</c:v>
                </c:pt>
                <c:pt idx="8">
                  <c:v>12.799264349550706</c:v>
                </c:pt>
                <c:pt idx="9">
                  <c:v>15.444497073303669</c:v>
                </c:pt>
                <c:pt idx="10">
                  <c:v>18.607240183252699</c:v>
                </c:pt>
                <c:pt idx="11">
                  <c:v>22.38089439207026</c:v>
                </c:pt>
                <c:pt idx="12">
                  <c:v>26.875862716092943</c:v>
                </c:pt>
                <c:pt idx="13">
                  <c:v>32.222507833314523</c:v>
                </c:pt>
                <c:pt idx="14">
                  <c:v>38.574635847383078</c:v>
                </c:pt>
                <c:pt idx="15">
                  <c:v>46.113596896508227</c:v>
                </c:pt>
                <c:pt idx="16">
                  <c:v>55.053109019065552</c:v>
                </c:pt>
                <c:pt idx="17">
                  <c:v>65.644930392738402</c:v>
                </c:pt>
                <c:pt idx="18">
                  <c:v>78.18552698244693</c:v>
                </c:pt>
                <c:pt idx="19">
                  <c:v>93.023908327441248</c:v>
                </c:pt>
                <c:pt idx="20">
                  <c:v>110.57083432977375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C95-B299-8E711A3BE815}"/>
            </c:ext>
          </c:extLst>
        </c:ser>
        <c:ser>
          <c:idx val="1"/>
          <c:order val="1"/>
          <c:tx>
            <c:v>Точный график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3-4C95-B299-8E711A3B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71440"/>
        <c:axId val="1329182672"/>
      </c:scatterChart>
      <c:valAx>
        <c:axId val="13291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82672"/>
        <c:crosses val="autoZero"/>
        <c:crossBetween val="midCat"/>
      </c:valAx>
      <c:valAx>
        <c:axId val="1329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7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Рунге-Кутта и точный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2'!$K$2:$K$22</c:f>
              <c:numCache>
                <c:formatCode>General</c:formatCode>
                <c:ptCount val="21"/>
                <c:pt idx="0">
                  <c:v>3</c:v>
                </c:pt>
                <c:pt idx="1">
                  <c:v>3.4773275637711345</c:v>
                </c:pt>
                <c:pt idx="2">
                  <c:v>4.0849795655882817</c:v>
                </c:pt>
                <c:pt idx="3">
                  <c:v>4.8406551266739362</c:v>
                </c:pt>
                <c:pt idx="4">
                  <c:v>5.7658918474527487</c:v>
                </c:pt>
                <c:pt idx="5">
                  <c:v>6.88656802579023</c:v>
                </c:pt>
                <c:pt idx="6">
                  <c:v>8.2335064776039744</c:v>
                </c:pt>
                <c:pt idx="7">
                  <c:v>9.8431930764890172</c:v>
                </c:pt>
                <c:pt idx="8">
                  <c:v>11.758625712223997</c:v>
                </c:pt>
                <c:pt idx="9">
                  <c:v>14.030312282915569</c:v>
                </c:pt>
                <c:pt idx="10">
                  <c:v>16.717439646678791</c:v>
                </c:pt>
                <c:pt idx="11">
                  <c:v>19.88923923899732</c:v>
                </c:pt>
                <c:pt idx="12">
                  <c:v>23.626579393990575</c:v>
                </c:pt>
                <c:pt idx="13">
                  <c:v>28.023819386151196</c:v>
                </c:pt>
                <c:pt idx="14">
                  <c:v>33.190965941855659</c:v>
                </c:pt>
                <c:pt idx="15">
                  <c:v>39.256179581324474</c:v>
                </c:pt>
                <c:pt idx="16">
                  <c:v>46.368685784706145</c:v>
                </c:pt>
                <c:pt idx="17">
                  <c:v>54.702154795413982</c:v>
                </c:pt>
                <c:pt idx="18">
                  <c:v>64.458624069976565</c:v>
                </c:pt>
                <c:pt idx="19">
                  <c:v>75.873049176163676</c:v>
                </c:pt>
                <c:pt idx="20">
                  <c:v>89.218582583900385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3-4818-8B25-17A8908D2BC4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2'!$V$2:$V$22</c:f>
              <c:numCache>
                <c:formatCode>General</c:formatCode>
                <c:ptCount val="21"/>
                <c:pt idx="0">
                  <c:v>3</c:v>
                </c:pt>
                <c:pt idx="1">
                  <c:v>5.2083327296948951</c:v>
                </c:pt>
                <c:pt idx="2">
                  <c:v>7.7239178454643262</c:v>
                </c:pt>
                <c:pt idx="3">
                  <c:v>10.581496584975849</c:v>
                </c:pt>
                <c:pt idx="4">
                  <c:v>13.820665805656718</c:v>
                </c:pt>
                <c:pt idx="5">
                  <c:v>17.486448546388232</c:v>
                </c:pt>
                <c:pt idx="6">
                  <c:v>21.629954251392881</c:v>
                </c:pt>
                <c:pt idx="7">
                  <c:v>26.309139563997331</c:v>
                </c:pt>
                <c:pt idx="8">
                  <c:v>31.589682476879521</c:v>
                </c:pt>
                <c:pt idx="9">
                  <c:v>37.545984738407235</c:v>
                </c:pt>
                <c:pt idx="10">
                  <c:v>44.262319804421999</c:v>
                </c:pt>
                <c:pt idx="11">
                  <c:v>51.834146339377753</c:v>
                </c:pt>
                <c:pt idx="12">
                  <c:v>60.369610364570121</c:v>
                </c:pt>
                <c:pt idx="13">
                  <c:v>69.991262686291449</c:v>
                </c:pt>
                <c:pt idx="14">
                  <c:v>80.838022283956747</c:v>
                </c:pt>
                <c:pt idx="15">
                  <c:v>93.067420978712804</c:v>
                </c:pt>
                <c:pt idx="16">
                  <c:v>106.85817002991108</c:v>
                </c:pt>
                <c:pt idx="17">
                  <c:v>122.41309542716955</c:v>
                </c:pt>
                <c:pt idx="18">
                  <c:v>139.96249568280078</c:v>
                </c:pt>
                <c:pt idx="19">
                  <c:v>159.76798402509016</c:v>
                </c:pt>
                <c:pt idx="20">
                  <c:v>182.12688621088122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3-4818-8B25-17A8908D2BC4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3-4818-8B25-17A8908D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05920"/>
        <c:axId val="1456801760"/>
      </c:scatterChart>
      <c:valAx>
        <c:axId val="14568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1760"/>
        <c:crosses val="autoZero"/>
        <c:crossBetween val="midCat"/>
      </c:valAx>
      <c:valAx>
        <c:axId val="1456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126023</xdr:colOff>
      <xdr:row>26</xdr:row>
      <xdr:rowOff>17949</xdr:rowOff>
    </xdr:from>
    <xdr:to>
      <xdr:col>10</xdr:col>
      <xdr:colOff>855596</xdr:colOff>
      <xdr:row>54</xdr:row>
      <xdr:rowOff>18317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25</xdr:row>
      <xdr:rowOff>190499</xdr:rowOff>
    </xdr:from>
    <xdr:to>
      <xdr:col>25</xdr:col>
      <xdr:colOff>28575</xdr:colOff>
      <xdr:row>54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80961</xdr:rowOff>
    </xdr:from>
    <xdr:to>
      <xdr:col>13</xdr:col>
      <xdr:colOff>427038</xdr:colOff>
      <xdr:row>62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323849</xdr:colOff>
      <xdr:row>30</xdr:row>
      <xdr:rowOff>9524</xdr:rowOff>
    </xdr:from>
    <xdr:to>
      <xdr:col>30</xdr:col>
      <xdr:colOff>219074</xdr:colOff>
      <xdr:row>60</xdr:row>
      <xdr:rowOff>83819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F25" totalsRowShown="0" headerRowDxfId="57" dataDxfId="50">
  <autoFilter ref="A1:F25"/>
  <tableColumns count="6">
    <tableColumn id="1" name="i" dataDxfId="56"/>
    <tableColumn id="2" name="xi" dataDxfId="55"/>
    <tableColumn id="3" name="ui" dataDxfId="54"/>
    <tableColumn id="4" name="uiточ." dataDxfId="53"/>
    <tableColumn id="5" name="f(xi; ui)" dataDxfId="52"/>
    <tableColumn id="6" name="H * f(xi;yi)" dataDxfId="5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H1:J22" totalsRowShown="0" headerRowDxfId="47" dataDxfId="46">
  <autoFilter ref="H1:J22"/>
  <tableColumns count="3">
    <tableColumn id="1" name="k1" dataDxfId="0">
      <calculatedColumnFormula xml:space="preserve"> 0.1 * (EXP(2 * B2) - EXP(B2) * Таблица3[[#This Row],[ui]])</calculatedColumnFormula>
    </tableColumn>
    <tableColumn id="2" name="k2" dataDxfId="49">
      <calculatedColumnFormula>0.1*((EXP(2*(B2+0.05)))-EXP((B2+(H2/2)))*J2)</calculatedColumnFormula>
    </tableColumn>
    <tableColumn id="3" name="ui" dataDxfId="48">
      <calculatedColumnFormula xml:space="preserve"> J1 + I1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L1:P22" totalsRowShown="0" headerRowDxfId="41" dataDxfId="40">
  <autoFilter ref="L1:P22"/>
  <tableColumns count="5">
    <tableColumn id="1" name="k1" dataDxfId="1">
      <calculatedColumnFormula xml:space="preserve"> 0.1 * (EXP(2 * B2) - EXP(B2) * Таблица4[[#This Row],[ui]])</calculatedColumnFormula>
    </tableColumn>
    <tableColumn id="2" name="k2" dataDxfId="45">
      <calculatedColumnFormula xml:space="preserve"> 0.1 * (EXP(2 * (B2 + 0.05)) - EXP(B2 + 0.05) * (P2 + L2/2))</calculatedColumnFormula>
    </tableColumn>
    <tableColumn id="3" name="k3" dataDxfId="44">
      <calculatedColumnFormula xml:space="preserve"> 0.1 * (EXP(2 * (B2 + 0.05)) - EXP(B2 + 0.05) * (P2 + M2/2))</calculatedColumnFormula>
    </tableColumn>
    <tableColumn id="4" name="k4" dataDxfId="43">
      <calculatedColumnFormula xml:space="preserve"> 0.1 * (EXP(2 * (B2 + 0.1)) - EXP(B2 + 0.1) * (P2 + N2))</calculatedColumnFormula>
    </tableColumn>
    <tableColumn id="5" name="ui" dataDxfId="42">
      <calculatedColumnFormula xml:space="preserve"> P1 +  ((L1 + 2 * M1 + 2 * N1 + O1) / 6)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Таблица9" displayName="Таблица9" ref="R1:T22" totalsRowShown="0" dataDxfId="9">
  <autoFilter ref="R1:T22"/>
  <tableColumns count="3">
    <tableColumn id="1" name="Ошибка Эйлера" dataDxfId="12">
      <calculatedColumnFormula xml:space="preserve"> ABS(D2 - C2)</calculatedColumnFormula>
    </tableColumn>
    <tableColumn id="2" name="Ошибка Рунге-Кутта 2-го порядка" dataDxfId="11">
      <calculatedColumnFormula xml:space="preserve"> ABS(Таблица3[[#This Row],[ui]] - Таблица1[[#This Row],[uiточ.]])</calculatedColumnFormula>
    </tableColumn>
    <tableColumn id="3" name="Ошибка Рунге-Кутта 4-го порядка" dataDxfId="10">
      <calculatedColumnFormula xml:space="preserve"> ABS(Таблица4[[#This Row],[ui]] - Таблица1[[#This Row],[uiточ.]])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E28" totalsRowShown="0" headerRowDxfId="34" dataDxfId="33">
  <autoFilter ref="A1:E28"/>
  <tableColumns count="5">
    <tableColumn id="1" name="i" dataDxfId="39"/>
    <tableColumn id="2" name="xi" dataDxfId="38"/>
    <tableColumn id="3" name="u1i" dataDxfId="37"/>
    <tableColumn id="4" name="u2i" dataDxfId="36"/>
    <tableColumn id="5" name="u1iточ" dataDxfId="35">
      <calculatedColumnFormula xml:space="preserve"> -3 * EXP(B2) + 5.31 * EXP(B2 * SQRT(3)) + 5.31 *  EXP(-B2 * SQRT(3))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G1:L22" totalsRowShown="0" headerRowDxfId="26" dataDxfId="25">
  <autoFilter ref="G1:L22"/>
  <tableColumns count="6">
    <tableColumn id="1" name="k1" dataDxfId="32">
      <calculatedColumnFormula xml:space="preserve"> 0.1 * L2</calculatedColumnFormula>
    </tableColumn>
    <tableColumn id="2" name="k2" dataDxfId="31">
      <calculatedColumnFormula xml:space="preserve"> 0.1 * (((I2 + J2) / 2) + I2)</calculatedColumnFormula>
    </tableColumn>
    <tableColumn id="3" name="l1" dataDxfId="30">
      <calculatedColumnFormula xml:space="preserve"> 0.1 *  (6 * EXP(B2) - (-3 * L2))</calculatedColumnFormula>
    </tableColumn>
    <tableColumn id="4" name="l2" dataDxfId="29">
      <calculatedColumnFormula xml:space="preserve"> 0.1 *  (6 * EXP(B2 + 0.1) - (-3 * (L2 + I2)))</calculatedColumnFormula>
    </tableColumn>
    <tableColumn id="5" name="u1i" dataDxfId="28">
      <calculatedColumnFormula xml:space="preserve"> K1 + ((G1 + H1) / 2)</calculatedColumnFormula>
    </tableColumn>
    <tableColumn id="6" name="u2i" dataDxfId="27">
      <calculatedColumnFormula xml:space="preserve"> L1 +  (0.1 * (6 * EXP(B1) - (-3 * K1)))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N1:W22" totalsRowShown="0" headerRowDxfId="14" dataDxfId="13">
  <autoFilter ref="N1:W22"/>
  <tableColumns count="10">
    <tableColumn id="1" name="k1" dataDxfId="24"/>
    <tableColumn id="2" name="k2" dataDxfId="23">
      <calculatedColumnFormula xml:space="preserve"> 0.1 *  (6 * EXP(B2 + 0.05) - (-3 * (W2 + R2 / 2)))</calculatedColumnFormula>
    </tableColumn>
    <tableColumn id="3" name="k3" dataDxfId="22">
      <calculatedColumnFormula xml:space="preserve"> 0.1 *  (6 * EXP(B2 + 0.05) - (-3 * (W2 + S2 / 2)))</calculatedColumnFormula>
    </tableColumn>
    <tableColumn id="4" name="k4" dataDxfId="21">
      <calculatedColumnFormula xml:space="preserve"> 0.1 *  (6 * EXP(B2 + 0.1) - (-3 * (W2 + T2 / 2)))</calculatedColumnFormula>
    </tableColumn>
    <tableColumn id="5" name="l1" dataDxfId="20">
      <calculatedColumnFormula xml:space="preserve"> 0.1 * 6 * EXP(Таблица2[[#This Row],[xi]])</calculatedColumnFormula>
    </tableColumn>
    <tableColumn id="6" name="l2" dataDxfId="19">
      <calculatedColumnFormula xml:space="preserve"> 0.1 * 6 * EXP(Таблица2[[#This Row],[xi]] + 0.05)</calculatedColumnFormula>
    </tableColumn>
    <tableColumn id="7" name="l3" dataDxfId="18">
      <calculatedColumnFormula xml:space="preserve"> 0.1 * 6 * EXP(Таблица2[[#This Row],[xi]] + 0.05)</calculatedColumnFormula>
    </tableColumn>
    <tableColumn id="8" name="l4" dataDxfId="17">
      <calculatedColumnFormula xml:space="preserve"> 0.1 * 6 * EXP(Таблица2[[#This Row],[xi]] + 0.1)</calculatedColumnFormula>
    </tableColumn>
    <tableColumn id="9" name="u1i" dataDxfId="16">
      <calculatedColumnFormula xml:space="preserve"> V1 + ((N1 + 2 * O1 + 2 * P1 + Q1) / 6)</calculatedColumnFormula>
    </tableColumn>
    <tableColumn id="10" name="u2i" dataDxfId="15">
      <calculatedColumnFormula xml:space="preserve"> W1 + ((R1 + 2 * S1 + 2 * T1 + U1) / 6)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0" name="Таблица10" displayName="Таблица10" ref="Y1:AA22" totalsRowShown="0" headerRowDxfId="8" dataDxfId="2" headerRowBorderDxfId="6" tableBorderDxfId="7">
  <autoFilter ref="Y1:AA22"/>
  <tableColumns count="3">
    <tableColumn id="1" name="Ошибка Эйлера" dataDxfId="5">
      <calculatedColumnFormula xml:space="preserve"> ABS(Таблица2[[#This Row],[u1iточ]] - Таблица2[[#This Row],[u1i]])</calculatedColumnFormula>
    </tableColumn>
    <tableColumn id="2" name="Ошибка Рунге-Кутта 2-го порядка" dataDxfId="4">
      <calculatedColumnFormula xml:space="preserve"> ABS(K2 - E2)</calculatedColumnFormula>
    </tableColumn>
    <tableColumn id="3" name="Ошибка Рунге-Кутта 4-го порядка" dataDxfId="3">
      <calculatedColumnFormula xml:space="preserve"> ABS(Таблица8[[#This Row],[u1i]] - Таблица2[[#This Row],[u1iточ]])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zoomScaleNormal="100" workbookViewId="0">
      <selection activeCell="H15" sqref="H15"/>
    </sheetView>
  </sheetViews>
  <sheetFormatPr defaultRowHeight="15" x14ac:dyDescent="0.25"/>
  <cols>
    <col min="2" max="2" width="9.85546875" customWidth="1"/>
    <col min="3" max="3" width="18" customWidth="1"/>
    <col min="4" max="4" width="17.140625" customWidth="1"/>
    <col min="5" max="5" width="16.140625" customWidth="1"/>
    <col min="6" max="6" width="17.42578125" customWidth="1"/>
    <col min="10" max="10" width="16" customWidth="1"/>
    <col min="11" max="11" width="14.7109375" customWidth="1"/>
    <col min="12" max="12" width="12" customWidth="1"/>
    <col min="16" max="16" width="21" customWidth="1"/>
    <col min="18" max="18" width="17.5703125" customWidth="1"/>
    <col min="19" max="20" width="33.570312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H1" s="10" t="s">
        <v>16</v>
      </c>
      <c r="I1" s="10" t="s">
        <v>18</v>
      </c>
      <c r="J1" s="10" t="s">
        <v>2</v>
      </c>
      <c r="K1" s="11"/>
      <c r="L1" s="10" t="s">
        <v>16</v>
      </c>
      <c r="M1" s="10" t="s">
        <v>18</v>
      </c>
      <c r="N1" s="10" t="s">
        <v>20</v>
      </c>
      <c r="O1" s="10" t="s">
        <v>21</v>
      </c>
      <c r="P1" s="10" t="s">
        <v>2</v>
      </c>
      <c r="R1" t="s">
        <v>24</v>
      </c>
      <c r="S1" t="s">
        <v>25</v>
      </c>
      <c r="T1" t="s">
        <v>26</v>
      </c>
    </row>
    <row r="2" spans="1:20" ht="15.75" x14ac:dyDescent="0.25">
      <c r="A2" s="2">
        <v>0</v>
      </c>
      <c r="B2" s="6">
        <v>0</v>
      </c>
      <c r="C2" s="7">
        <v>0</v>
      </c>
      <c r="D2" s="8">
        <f xml:space="preserve"> EXP(B2) - 1</f>
        <v>0</v>
      </c>
      <c r="E2" s="3">
        <f xml:space="preserve"> EXP(2 * B2) - EXP(B2) * C2</f>
        <v>1</v>
      </c>
      <c r="F2" s="3">
        <f xml:space="preserve"> $B$24 * E2</f>
        <v>0.1</v>
      </c>
      <c r="H2" s="12">
        <f xml:space="preserve"> 0.1 * (EXP(2 * B2) - EXP(B2) * Таблица3[[#This Row],[ui]])</f>
        <v>0.1</v>
      </c>
      <c r="I2" s="12">
        <f>0.1*((EXP(2*(B2+0.05)))-EXP((B2+(H2/2)))*J2)</f>
        <v>0.11051709180756478</v>
      </c>
      <c r="J2" s="13">
        <v>0</v>
      </c>
      <c r="K2" s="11"/>
      <c r="L2" s="11">
        <f xml:space="preserve"> 0.1 * (EXP(2 * B2) - EXP(B2) * Таблица4[[#This Row],[ui]])</f>
        <v>0.1</v>
      </c>
      <c r="M2" s="11">
        <f xml:space="preserve"> 0.1 * (EXP(2 * (B2 + 0.05)) - EXP(B2 + 0.05) * (P2 + L2/2))</f>
        <v>0.10526073632568465</v>
      </c>
      <c r="N2" s="11">
        <f xml:space="preserve"> 0.1 * (EXP(2 * (B2 + 0.05)) - EXP(B2 + 0.05) * (P2 + M2/2))</f>
        <v>0.10498421332344228</v>
      </c>
      <c r="O2" s="11">
        <f xml:space="preserve"> 0.1 * (EXP(2 * (B2 + 0.1)) - EXP(B2 + 0.1) * (P2 + N2))</f>
        <v>0.11053772587380516</v>
      </c>
      <c r="P2" s="13">
        <v>0</v>
      </c>
      <c r="R2" s="12">
        <f xml:space="preserve"> ABS(D2 - C2)</f>
        <v>0</v>
      </c>
      <c r="S2" s="12">
        <f xml:space="preserve"> ABS(Таблица3[[#This Row],[ui]] - Таблица1[[#This Row],[uiточ.]])</f>
        <v>0</v>
      </c>
      <c r="T2" s="12">
        <f xml:space="preserve"> ABS(Таблица4[[#This Row],[ui]] - Таблица1[[#This Row],[uiточ.]])</f>
        <v>0</v>
      </c>
    </row>
    <row r="3" spans="1:20" ht="15.75" x14ac:dyDescent="0.25">
      <c r="A3" s="2">
        <v>1</v>
      </c>
      <c r="B3" s="6">
        <v>0.1</v>
      </c>
      <c r="C3" s="7">
        <f xml:space="preserve"> C2 + F2</f>
        <v>0.1</v>
      </c>
      <c r="D3" s="8">
        <f t="shared" ref="D3:D22" si="0" xml:space="preserve"> EXP(B3) - 1</f>
        <v>0.10517091807564771</v>
      </c>
      <c r="E3" s="3">
        <f xml:space="preserve"> EXP(2 * B3) - EXP(B3) * C3</f>
        <v>1.110885666352605</v>
      </c>
      <c r="F3" s="3">
        <f t="shared" ref="F3:F22" si="1" xml:space="preserve"> $B$24 * E3</f>
        <v>0.11108856663526051</v>
      </c>
      <c r="H3" s="12">
        <f xml:space="preserve"> 0.1 * (EXP(2 * B3) - EXP(B3) * Таблица3[[#This Row],[ui]])</f>
        <v>0.10992624823441528</v>
      </c>
      <c r="I3" s="12">
        <f t="shared" ref="I3:I22" si="2">0.1*((EXP(2*(B3+0.05)))-EXP((B3+(H3/2)))*J3)</f>
        <v>0.12208174040921227</v>
      </c>
      <c r="J3" s="13">
        <f xml:space="preserve"> J2 + I2</f>
        <v>0.11051709180756478</v>
      </c>
      <c r="K3" s="11"/>
      <c r="L3" s="11">
        <f xml:space="preserve"> 0.1 * (EXP(2 * B3) - EXP(B3) * Таблица4[[#This Row],[ui]])</f>
        <v>0.11051705281864199</v>
      </c>
      <c r="M3" s="11">
        <f t="shared" ref="M3:M22" si="3" xml:space="preserve"> 0.1 * (EXP(2 * (B3 + 0.05)) - EXP(B3 + 0.05) * (P3 + L3/2))</f>
        <v>0.11634659755522146</v>
      </c>
      <c r="N3" s="11">
        <f xml:space="preserve"> 0.1 * (EXP(2 * (B3 + 0.05)) - EXP(B3 + 0.05) * (P3 + M3/2))</f>
        <v>0.11600794932049774</v>
      </c>
      <c r="O3" s="11">
        <f xml:space="preserve"> 0.1 * (EXP(2 * (B3 + 0.1)) - EXP(B3 + 0.1) * (P3 + N3))</f>
        <v>0.12216757880626401</v>
      </c>
      <c r="P3" s="13">
        <f xml:space="preserve"> P2 +  ((L2 + 2 * M2 + 2 * N2 + O2) / 6)</f>
        <v>0.10517127086200984</v>
      </c>
      <c r="R3" s="12">
        <f t="shared" ref="R3:R22" si="4" xml:space="preserve"> ABS(D3 - C3)</f>
        <v>5.1709180756477069E-3</v>
      </c>
      <c r="S3" s="12">
        <f xml:space="preserve"> ABS(Таблица3[[#This Row],[ui]] - Таблица1[[#This Row],[uiточ.]])</f>
        <v>5.3461737319170644E-3</v>
      </c>
      <c r="T3" s="12">
        <f xml:space="preserve"> ABS(Таблица4[[#This Row],[ui]] - Таблица1[[#This Row],[uiточ.]])</f>
        <v>3.5278636212332515E-7</v>
      </c>
    </row>
    <row r="4" spans="1:20" ht="15.75" x14ac:dyDescent="0.25">
      <c r="A4" s="2">
        <v>2</v>
      </c>
      <c r="B4" s="6">
        <v>0.2</v>
      </c>
      <c r="C4" s="7">
        <f t="shared" ref="C4:C22" si="5" xml:space="preserve"> C3 + F3</f>
        <v>0.21108856663526052</v>
      </c>
      <c r="D4" s="8">
        <f t="shared" si="0"/>
        <v>0.22140275816016985</v>
      </c>
      <c r="E4" s="3">
        <f t="shared" ref="E4:E22" si="6" xml:space="preserve"> EXP(2 * B4) - EXP(B4) * C4</f>
        <v>1.2340005401368863</v>
      </c>
      <c r="F4" s="3">
        <f t="shared" si="1"/>
        <v>0.12340005401368864</v>
      </c>
      <c r="H4" s="12">
        <f xml:space="preserve"> 0.1 * (EXP(2 * B4) - EXP(B4) * Таблица3[[#This Row],[ui]])</f>
        <v>0.12077278424268643</v>
      </c>
      <c r="I4" s="12">
        <f t="shared" si="2"/>
        <v>0.13469402637963082</v>
      </c>
      <c r="J4" s="13">
        <f t="shared" ref="J4:J22" si="7" xml:space="preserve"> J3 + I3</f>
        <v>0.23259883221677705</v>
      </c>
      <c r="K4" s="11"/>
      <c r="L4" s="11">
        <f xml:space="preserve"> 0.1 * (EXP(2 * B4) - EXP(B4) * Таблица4[[#This Row],[ui]])</f>
        <v>0.12214017807148242</v>
      </c>
      <c r="M4" s="11">
        <f t="shared" si="3"/>
        <v>0.12860179278163855</v>
      </c>
      <c r="N4" s="11">
        <f xml:space="preserve"> 0.1 * (EXP(2 * (B4 + 0.05)) - EXP(B4 + 0.05) * (P4 + M4/2))</f>
        <v>0.12818694890560436</v>
      </c>
      <c r="O4" s="11">
        <f xml:space="preserve"> 0.1 * (EXP(2 * (B4 + 0.1)) - EXP(B4 + 0.1) * (P4 + N4))</f>
        <v>0.13502209750256888</v>
      </c>
      <c r="P4" s="13">
        <f t="shared" ref="P4:P22" si="8" xml:space="preserve"> P3 +  ((L3 + 2 * M3 + 2 * N3 + O3) / 6)</f>
        <v>0.22140355842473392</v>
      </c>
      <c r="R4" s="12">
        <f t="shared" si="4"/>
        <v>1.0314191524909339E-2</v>
      </c>
      <c r="S4" s="12">
        <f xml:space="preserve"> ABS(Таблица3[[#This Row],[ui]] - Таблица1[[#This Row],[uiточ.]])</f>
        <v>1.1196074056607191E-2</v>
      </c>
      <c r="T4" s="12">
        <f xml:space="preserve"> ABS(Таблица4[[#This Row],[ui]] - Таблица1[[#This Row],[uiточ.]])</f>
        <v>8.0026456406034896E-7</v>
      </c>
    </row>
    <row r="5" spans="1:20" ht="15.75" x14ac:dyDescent="0.25">
      <c r="A5" s="2">
        <v>3</v>
      </c>
      <c r="B5" s="6">
        <v>0.3</v>
      </c>
      <c r="C5" s="7">
        <f t="shared" si="5"/>
        <v>0.33448862064894913</v>
      </c>
      <c r="D5" s="8">
        <f t="shared" si="0"/>
        <v>0.34985880757600318</v>
      </c>
      <c r="E5" s="3">
        <f t="shared" si="6"/>
        <v>1.3706063897735763</v>
      </c>
      <c r="F5" s="3">
        <f t="shared" si="1"/>
        <v>0.13706063897735762</v>
      </c>
      <c r="H5" s="12">
        <f xml:space="preserve"> 0.1 * (EXP(2 * B5) - EXP(B5) * Таблица3[[#This Row],[ui]])</f>
        <v>0.13263253002543804</v>
      </c>
      <c r="I5" s="12">
        <f t="shared" si="2"/>
        <v>0.14839653177050768</v>
      </c>
      <c r="J5" s="13">
        <f t="shared" si="7"/>
        <v>0.36729285859640787</v>
      </c>
      <c r="K5" s="11"/>
      <c r="L5" s="11">
        <f xml:space="preserve"> 0.1 * (EXP(2 * B5) - EXP(B5) * Таблица4[[#This Row],[ui]])</f>
        <v>0.13498569483612655</v>
      </c>
      <c r="M5" s="11">
        <f t="shared" si="3"/>
        <v>0.14215005629779928</v>
      </c>
      <c r="N5" s="11">
        <f xml:space="preserve"> 0.1 * (EXP(2 * (B5 + 0.05)) - EXP(B5 + 0.05) * (P5 + M5/2))</f>
        <v>0.14164172065496669</v>
      </c>
      <c r="O5" s="11">
        <f xml:space="preserve"> 0.1 * (EXP(2 * (B5 + 0.1)) - EXP(B5 + 0.1) * (P5 + N5))</f>
        <v>0.14923062468237186</v>
      </c>
      <c r="P5" s="13">
        <f t="shared" si="8"/>
        <v>0.34986018491615678</v>
      </c>
      <c r="R5" s="12">
        <f t="shared" si="4"/>
        <v>1.5370186927054053E-2</v>
      </c>
      <c r="S5" s="12">
        <f xml:space="preserve"> ABS(Таблица3[[#This Row],[ui]] - Таблица1[[#This Row],[uiточ.]])</f>
        <v>1.7434051020404684E-2</v>
      </c>
      <c r="T5" s="12">
        <f xml:space="preserve"> ABS(Таблица4[[#This Row],[ui]] - Таблица1[[#This Row],[uiточ.]])</f>
        <v>1.3773401535965846E-6</v>
      </c>
    </row>
    <row r="6" spans="1:20" ht="15.75" x14ac:dyDescent="0.25">
      <c r="A6" s="2">
        <v>4</v>
      </c>
      <c r="B6" s="6">
        <v>0.4</v>
      </c>
      <c r="C6" s="7">
        <f t="shared" si="5"/>
        <v>0.47154925962630678</v>
      </c>
      <c r="D6" s="8">
        <f t="shared" si="0"/>
        <v>0.49182469764127035</v>
      </c>
      <c r="E6" s="3">
        <f t="shared" si="6"/>
        <v>1.5220720968274879</v>
      </c>
      <c r="F6" s="3">
        <f t="shared" si="1"/>
        <v>0.15220720968274881</v>
      </c>
      <c r="H6" s="12">
        <f xml:space="preserve"> 0.1 * (EXP(2 * B6) - EXP(B6) * Таблица3[[#This Row],[ui]])</f>
        <v>0.14562227596315333</v>
      </c>
      <c r="I6" s="12">
        <f t="shared" si="2"/>
        <v>0.16321803478006602</v>
      </c>
      <c r="J6" s="13">
        <f t="shared" si="7"/>
        <v>0.51568939036691552</v>
      </c>
      <c r="K6" s="11"/>
      <c r="L6" s="11">
        <f xml:space="preserve"> 0.1 * (EXP(2 * B6) - EXP(B6) * Таблица4[[#This Row],[ui]])</f>
        <v>0.14918215158095904</v>
      </c>
      <c r="M6" s="11">
        <f t="shared" si="3"/>
        <v>0.15712830066624195</v>
      </c>
      <c r="N6" s="11">
        <f xml:space="preserve"> 0.1 * (EXP(2 * (B6 + 0.05)) - EXP(B6 + 0.05) * (P6 + M6/2))</f>
        <v>0.15650519854433342</v>
      </c>
      <c r="O6" s="11">
        <f xml:space="preserve"> 0.1 * (EXP(2 * (B6 + 0.1)) - EXP(B6 + 0.1) * (P6 + N6))</f>
        <v>0.16493630217191957</v>
      </c>
      <c r="P6" s="13">
        <f t="shared" si="8"/>
        <v>0.49182683048682851</v>
      </c>
      <c r="R6" s="12">
        <f t="shared" si="4"/>
        <v>2.0275438014963565E-2</v>
      </c>
      <c r="S6" s="12">
        <f xml:space="preserve"> ABS(Таблица3[[#This Row],[ui]] - Таблица1[[#This Row],[uiточ.]])</f>
        <v>2.3864692725645176E-2</v>
      </c>
      <c r="T6" s="12">
        <f xml:space="preserve"> ABS(Таблица4[[#This Row],[ui]] - Таблица1[[#This Row],[uiточ.]])</f>
        <v>2.1328455581670624E-6</v>
      </c>
    </row>
    <row r="7" spans="1:20" ht="15.75" x14ac:dyDescent="0.25">
      <c r="A7" s="2">
        <v>5</v>
      </c>
      <c r="B7" s="6">
        <v>0.5</v>
      </c>
      <c r="C7" s="7">
        <f t="shared" si="5"/>
        <v>0.62375646930905559</v>
      </c>
      <c r="D7" s="8">
        <f t="shared" si="0"/>
        <v>0.64872127070012819</v>
      </c>
      <c r="E7" s="3">
        <f t="shared" si="6"/>
        <v>1.6898812697723935</v>
      </c>
      <c r="F7" s="3">
        <f t="shared" si="1"/>
        <v>0.16898812697723936</v>
      </c>
      <c r="H7" s="12">
        <f xml:space="preserve"> 0.1 * (EXP(2 * B7) - EXP(B7) * Таблица3[[#This Row],[ui]])</f>
        <v>0.15989527157829617</v>
      </c>
      <c r="I7" s="12">
        <f t="shared" si="2"/>
        <v>0.17916747645226713</v>
      </c>
      <c r="J7" s="13">
        <f t="shared" si="7"/>
        <v>0.67890742514698155</v>
      </c>
      <c r="K7" s="11"/>
      <c r="L7" s="11">
        <f xml:space="preserve"> 0.1 * (EXP(2 * B7) - EXP(B7) * Таблица4[[#This Row],[ui]])</f>
        <v>0.16487161017132212</v>
      </c>
      <c r="M7" s="11">
        <f t="shared" si="3"/>
        <v>0.17368803817990819</v>
      </c>
      <c r="N7" s="11">
        <f xml:space="preserve"> 0.1 * (EXP(2 * (B7 + 0.05)) - EXP(B7 + 0.05) * (P7 + M7/2))</f>
        <v>0.17292398315727356</v>
      </c>
      <c r="O7" s="11">
        <f xml:space="preserve"> 0.1 * (EXP(2 * (B7 + 0.1)) - EXP(B7 + 0.1) * (P7 + N7))</f>
        <v>0.18229759458173381</v>
      </c>
      <c r="P7" s="13">
        <f t="shared" si="8"/>
        <v>0.6487244058491668</v>
      </c>
      <c r="R7" s="12">
        <f t="shared" si="4"/>
        <v>2.49648013910726E-2</v>
      </c>
      <c r="S7" s="12">
        <f xml:space="preserve"> ABS(Таблица3[[#This Row],[ui]] - Таблица1[[#This Row],[uiточ.]])</f>
        <v>3.0186154446853353E-2</v>
      </c>
      <c r="T7" s="12">
        <f xml:space="preserve"> ABS(Таблица4[[#This Row],[ui]] - Таблица1[[#This Row],[uiточ.]])</f>
        <v>3.1351490386022363E-6</v>
      </c>
    </row>
    <row r="8" spans="1:20" ht="15.75" x14ac:dyDescent="0.25">
      <c r="A8" s="2">
        <v>6</v>
      </c>
      <c r="B8" s="6">
        <v>0.6</v>
      </c>
      <c r="C8" s="7">
        <f t="shared" si="5"/>
        <v>0.7927445962862949</v>
      </c>
      <c r="D8" s="8">
        <f t="shared" si="0"/>
        <v>0.82211880039050889</v>
      </c>
      <c r="E8" s="3">
        <f t="shared" si="6"/>
        <v>1.8756420899353052</v>
      </c>
      <c r="F8" s="3">
        <f t="shared" si="1"/>
        <v>0.18756420899353055</v>
      </c>
      <c r="H8" s="12">
        <f xml:space="preserve"> 0.1 * (EXP(2 * B8) - EXP(B8) * Таблица3[[#This Row],[ui]])</f>
        <v>0.17566025123893203</v>
      </c>
      <c r="I8" s="12">
        <f t="shared" si="2"/>
        <v>0.19622475114499108</v>
      </c>
      <c r="J8" s="13">
        <f t="shared" si="7"/>
        <v>0.85807490159924871</v>
      </c>
      <c r="K8" s="11"/>
      <c r="L8" s="11">
        <f xml:space="preserve"> 0.1 * (EXP(2 * B8) - EXP(B8) * Таблица4[[#This Row],[ui]])</f>
        <v>0.1822110637243812</v>
      </c>
      <c r="M8" s="11">
        <f t="shared" si="3"/>
        <v>0.19199695914600687</v>
      </c>
      <c r="N8" s="11">
        <f xml:space="preserve"> 0.1 * (EXP(2 * (B8 + 0.05)) - EXP(B8 + 0.05) * (P8 + M8/2))</f>
        <v>0.19105969503457765</v>
      </c>
      <c r="O8" s="11">
        <f xml:space="preserve"> 0.1 * (EXP(2 * (B8 + 0.1)) - EXP(B8 + 0.1) * (P8 + N8))</f>
        <v>0.20149000068592132</v>
      </c>
      <c r="P8" s="13">
        <f t="shared" si="8"/>
        <v>0.82212328042040339</v>
      </c>
      <c r="R8" s="12">
        <f t="shared" si="4"/>
        <v>2.9374204104213986E-2</v>
      </c>
      <c r="S8" s="12">
        <f xml:space="preserve"> ABS(Таблица3[[#This Row],[ui]] - Таблица1[[#This Row],[uiточ.]])</f>
        <v>3.5956101208739821E-2</v>
      </c>
      <c r="T8" s="12">
        <f xml:space="preserve"> ABS(Таблица4[[#This Row],[ui]] - Таблица1[[#This Row],[uiточ.]])</f>
        <v>4.480029894504689E-6</v>
      </c>
    </row>
    <row r="9" spans="1:20" ht="15.75" x14ac:dyDescent="0.25">
      <c r="A9" s="2">
        <v>7</v>
      </c>
      <c r="B9" s="6">
        <v>0.7</v>
      </c>
      <c r="C9" s="7">
        <f t="shared" si="5"/>
        <v>0.98030880527982545</v>
      </c>
      <c r="D9" s="8">
        <f t="shared" si="0"/>
        <v>1.0137527074704766</v>
      </c>
      <c r="E9" s="3">
        <f t="shared" si="6"/>
        <v>2.0811004560552777</v>
      </c>
      <c r="F9" s="3">
        <f t="shared" si="1"/>
        <v>0.20811004560552779</v>
      </c>
      <c r="H9" s="12">
        <f xml:space="preserve"> 0.1 * (EXP(2 * B9) - EXP(B9) * Таблица3[[#This Row],[ui]])</f>
        <v>0.19321011866457782</v>
      </c>
      <c r="I9" s="12">
        <f t="shared" si="2"/>
        <v>0.21432543805079446</v>
      </c>
      <c r="J9" s="13">
        <f t="shared" si="7"/>
        <v>1.0542996527442399</v>
      </c>
      <c r="K9" s="11"/>
      <c r="L9" s="11">
        <f xml:space="preserve"> 0.1 * (EXP(2 * B9) - EXP(B9) * Таблица4[[#This Row],[ui]])</f>
        <v>0.20137400173140746</v>
      </c>
      <c r="M9" s="11">
        <f t="shared" si="3"/>
        <v>0.21224068484819125</v>
      </c>
      <c r="N9" s="11">
        <f xml:space="preserve"> 0.1 * (EXP(2 * (B9 + 0.05)) - EXP(B9 + 0.05) * (P9 + M9/2))</f>
        <v>0.21109044643125349</v>
      </c>
      <c r="O9" s="11">
        <f xml:space="preserve"> 0.1 * (EXP(2 * (B9 + 0.1)) - EXP(B9 + 0.1) * (P9 + N9))</f>
        <v>0.22270798296112143</v>
      </c>
      <c r="P9" s="13">
        <f t="shared" si="8"/>
        <v>1.0137590092156485</v>
      </c>
      <c r="R9" s="12">
        <f t="shared" si="4"/>
        <v>3.3443902190651187E-2</v>
      </c>
      <c r="S9" s="12">
        <f xml:space="preserve"> ABS(Таблица3[[#This Row],[ui]] - Таблица1[[#This Row],[uiточ.]])</f>
        <v>4.0546945273763235E-2</v>
      </c>
      <c r="T9" s="12">
        <f xml:space="preserve"> ABS(Таблица4[[#This Row],[ui]] - Таблица1[[#This Row],[uiточ.]])</f>
        <v>6.3017451719105111E-6</v>
      </c>
    </row>
    <row r="10" spans="1:20" ht="15.75" x14ac:dyDescent="0.25">
      <c r="A10" s="2">
        <v>8</v>
      </c>
      <c r="B10" s="6">
        <v>0.8</v>
      </c>
      <c r="C10" s="7">
        <f t="shared" si="5"/>
        <v>1.1884188508853533</v>
      </c>
      <c r="D10" s="8">
        <f t="shared" si="0"/>
        <v>1.2255409284924679</v>
      </c>
      <c r="E10" s="3">
        <f t="shared" si="6"/>
        <v>2.3081576315577741</v>
      </c>
      <c r="F10" s="3">
        <f t="shared" si="1"/>
        <v>0.23081576315577743</v>
      </c>
      <c r="H10" s="12">
        <f xml:space="preserve"> 0.1 * (EXP(2 * B10) - EXP(B10) * Таблица3[[#This Row],[ui]])</f>
        <v>0.21296553619182934</v>
      </c>
      <c r="I10" s="12">
        <f t="shared" si="2"/>
        <v>0.23333391885205398</v>
      </c>
      <c r="J10" s="13">
        <f t="shared" si="7"/>
        <v>1.2686250907950343</v>
      </c>
      <c r="K10" s="11"/>
      <c r="L10" s="11">
        <f xml:space="preserve"> 0.1 * (EXP(2 * B10) - EXP(B10) * Таблица4[[#This Row],[ui]])</f>
        <v>0.22255213691069856</v>
      </c>
      <c r="M10" s="11">
        <f t="shared" si="3"/>
        <v>0.23462471510004637</v>
      </c>
      <c r="N10" s="11">
        <f xml:space="preserve"> 0.1 * (EXP(2 * (B10 + 0.05)) - EXP(B10 + 0.05) * (P10 + M10/2))</f>
        <v>0.23321243662227947</v>
      </c>
      <c r="O10" s="11">
        <f xml:space="preserve"> 0.1 * (EXP(2 * (B10 + 0.1)) - EXP(B10 + 0.1) * (P10 + N10))</f>
        <v>0.2461671532702035</v>
      </c>
      <c r="P10" s="13">
        <f t="shared" si="8"/>
        <v>1.2255497170908849</v>
      </c>
      <c r="R10" s="12">
        <f t="shared" si="4"/>
        <v>3.7122077607114612E-2</v>
      </c>
      <c r="S10" s="12">
        <f xml:space="preserve"> ABS(Таблица3[[#This Row],[ui]] - Таблица1[[#This Row],[uiточ.]])</f>
        <v>4.3084162302566398E-2</v>
      </c>
      <c r="T10" s="12">
        <f xml:space="preserve"> ABS(Таблица4[[#This Row],[ui]] - Таблица1[[#This Row],[uiточ.]])</f>
        <v>8.7885984170199549E-6</v>
      </c>
    </row>
    <row r="11" spans="1:20" ht="15.75" x14ac:dyDescent="0.25">
      <c r="A11" s="2">
        <v>9</v>
      </c>
      <c r="B11" s="6">
        <v>0.9</v>
      </c>
      <c r="C11" s="7">
        <f t="shared" si="5"/>
        <v>1.4192346140411307</v>
      </c>
      <c r="D11" s="8">
        <f t="shared" si="0"/>
        <v>1.4596031111569499</v>
      </c>
      <c r="E11" s="3">
        <f t="shared" si="6"/>
        <v>2.5588935922557483</v>
      </c>
      <c r="F11" s="3">
        <f t="shared" si="1"/>
        <v>0.25588935922557482</v>
      </c>
      <c r="H11" s="12">
        <f xml:space="preserve"> 0.1 * (EXP(2 * B11) - EXP(B11) * Таблица3[[#This Row],[ui]])</f>
        <v>0.23554244114547573</v>
      </c>
      <c r="I11" s="12">
        <f t="shared" si="2"/>
        <v>0.25299426109099005</v>
      </c>
      <c r="J11" s="13">
        <f t="shared" si="7"/>
        <v>1.5019590096470883</v>
      </c>
      <c r="K11" s="11"/>
      <c r="L11" s="11">
        <f xml:space="preserve"> 0.1 * (EXP(2 * B11) - EXP(B11) * Таблица4[[#This Row],[ui]])</f>
        <v>0.24595730920169695</v>
      </c>
      <c r="M11" s="11">
        <f t="shared" si="3"/>
        <v>0.25937659256480039</v>
      </c>
      <c r="N11" s="11">
        <f xml:space="preserve"> 0.1 * (EXP(2 * (B11 + 0.05)) - EXP(B11 + 0.05) * (P11 + M11/2))</f>
        <v>0.25764167403414673</v>
      </c>
      <c r="O11" s="11">
        <f xml:space="preserve"> 0.1 * (EXP(2 * (B11 + 0.1)) - EXP(B11 + 0.1) * (P11 + N11))</f>
        <v>0.27210676280491447</v>
      </c>
      <c r="P11" s="13">
        <f t="shared" si="8"/>
        <v>1.4596153160284773</v>
      </c>
      <c r="R11" s="12">
        <f t="shared" si="4"/>
        <v>4.0368497115819135E-2</v>
      </c>
      <c r="S11" s="12">
        <f xml:space="preserve"> ABS(Таблица3[[#This Row],[ui]] - Таблица1[[#This Row],[uiточ.]])</f>
        <v>4.2355898490138433E-2</v>
      </c>
      <c r="T11" s="12">
        <f xml:space="preserve"> ABS(Таблица4[[#This Row],[ui]] - Таблица1[[#This Row],[uiточ.]])</f>
        <v>1.2204871527421446E-5</v>
      </c>
    </row>
    <row r="12" spans="1:20" ht="15.75" x14ac:dyDescent="0.25">
      <c r="A12" s="2">
        <v>10</v>
      </c>
      <c r="B12" s="6">
        <v>1</v>
      </c>
      <c r="C12" s="7">
        <f t="shared" si="5"/>
        <v>1.6751239732667056</v>
      </c>
      <c r="D12" s="8">
        <f t="shared" si="0"/>
        <v>1.7182818284590451</v>
      </c>
      <c r="E12" s="3">
        <f t="shared" si="6"/>
        <v>2.8355970419836494</v>
      </c>
      <c r="F12" s="3">
        <f t="shared" si="1"/>
        <v>0.28355970419836496</v>
      </c>
      <c r="H12" s="12">
        <f xml:space="preserve"> 0.1 * (EXP(2 * B12) - EXP(B12) * Таблица3[[#This Row],[ui]])</f>
        <v>0.26185985132885653</v>
      </c>
      <c r="I12" s="12">
        <f t="shared" si="2"/>
        <v>0.27283830254745833</v>
      </c>
      <c r="J12" s="13">
        <f t="shared" si="7"/>
        <v>1.7549532707380784</v>
      </c>
      <c r="K12" s="11"/>
      <c r="L12" s="11">
        <f xml:space="preserve"> 0.1 * (EXP(2 * B12) - EXP(B12) * Таблица4[[#This Row],[ui]])</f>
        <v>0.27182358303186521</v>
      </c>
      <c r="M12" s="11">
        <f t="shared" si="3"/>
        <v>0.28674830848250882</v>
      </c>
      <c r="N12" s="11">
        <f xml:space="preserve"> 0.1 * (EXP(2 * (B12 + 0.05)) - EXP(B12 + 0.05) * (P12 + M12/2))</f>
        <v>0.28461582556396803</v>
      </c>
      <c r="O12" s="11">
        <f xml:space="preserve"> 0.1 * (EXP(2 * (B12 + 0.1)) - EXP(B12 + 0.1) * (P12 + N12))</f>
        <v>0.30079255819691186</v>
      </c>
      <c r="P12" s="13">
        <f t="shared" si="8"/>
        <v>1.7182987502292282</v>
      </c>
      <c r="R12" s="12">
        <f t="shared" si="4"/>
        <v>4.31578551923395E-2</v>
      </c>
      <c r="S12" s="12">
        <f xml:space="preserve"> ABS(Таблица3[[#This Row],[ui]] - Таблица1[[#This Row],[uiточ.]])</f>
        <v>3.6671442279033295E-2</v>
      </c>
      <c r="T12" s="12">
        <f xml:space="preserve"> ABS(Таблица4[[#This Row],[ui]] - Таблица1[[#This Row],[uiточ.]])</f>
        <v>1.6921770183087048E-5</v>
      </c>
    </row>
    <row r="13" spans="1:20" ht="15.75" x14ac:dyDescent="0.25">
      <c r="A13" s="2">
        <v>11</v>
      </c>
      <c r="B13" s="6">
        <v>1.1000000000000001</v>
      </c>
      <c r="C13" s="7">
        <f t="shared" si="5"/>
        <v>1.9586836774650704</v>
      </c>
      <c r="D13" s="8">
        <f t="shared" si="0"/>
        <v>2.0041660239464334</v>
      </c>
      <c r="E13" s="3">
        <f t="shared" si="6"/>
        <v>3.1408025439351031</v>
      </c>
      <c r="F13" s="3">
        <f t="shared" si="1"/>
        <v>0.31408025439351034</v>
      </c>
      <c r="H13" s="12">
        <f xml:space="preserve"> 0.1 * (EXP(2 * B13) - EXP(B13) * Таблица3[[#This Row],[ui]])</f>
        <v>0.29331909513248278</v>
      </c>
      <c r="I13" s="12">
        <f t="shared" si="2"/>
        <v>0.29200976533346285</v>
      </c>
      <c r="J13" s="13">
        <f t="shared" si="7"/>
        <v>2.0277915732855369</v>
      </c>
      <c r="K13" s="11"/>
      <c r="L13" s="11">
        <f xml:space="preserve"> 0.1 * (EXP(2 * B13) - EXP(B13) * Таблица4[[#This Row],[ui]])</f>
        <v>0.30040955426973881</v>
      </c>
      <c r="M13" s="11">
        <f t="shared" si="3"/>
        <v>0.317018977109713</v>
      </c>
      <c r="N13" s="11">
        <f xml:space="preserve"> 0.1 * (EXP(2 * (B13 + 0.05)) - EXP(B13 + 0.05) * (P13 + M13/2))</f>
        <v>0.31439618903735067</v>
      </c>
      <c r="O13" s="11">
        <f xml:space="preserve"> 0.1 * (EXP(2 * (B13 + 0.1)) - EXP(B13 + 0.1) * (P13 + N13))</f>
        <v>0.3325200847069929</v>
      </c>
      <c r="P13" s="13">
        <f t="shared" si="8"/>
        <v>2.0041894851161834</v>
      </c>
      <c r="R13" s="12">
        <f t="shared" si="4"/>
        <v>4.5482346481362956E-2</v>
      </c>
      <c r="S13" s="12">
        <f xml:space="preserve"> ABS(Таблица3[[#This Row],[ui]] - Таблица1[[#This Row],[uiточ.]])</f>
        <v>2.3625549339103546E-2</v>
      </c>
      <c r="T13" s="12">
        <f xml:space="preserve"> ABS(Таблица4[[#This Row],[ui]] - Таблица1[[#This Row],[uiточ.]])</f>
        <v>2.3461169750049748E-5</v>
      </c>
    </row>
    <row r="14" spans="1:20" ht="15.75" x14ac:dyDescent="0.25">
      <c r="A14" s="2">
        <v>12</v>
      </c>
      <c r="B14" s="6">
        <v>1.2</v>
      </c>
      <c r="C14" s="7">
        <f t="shared" si="5"/>
        <v>2.2727639318585808</v>
      </c>
      <c r="D14" s="8">
        <f t="shared" si="0"/>
        <v>2.3201169227365472</v>
      </c>
      <c r="E14" s="3">
        <f t="shared" si="6"/>
        <v>3.4773343890926744</v>
      </c>
      <c r="F14" s="3">
        <f t="shared" si="1"/>
        <v>0.34773343890926744</v>
      </c>
      <c r="H14" s="12">
        <f xml:space="preserve"> 0.1 * (EXP(2 * B14) - EXP(B14) * Таблица3[[#This Row],[ui]])</f>
        <v>0.33211646989057642</v>
      </c>
      <c r="I14" s="12">
        <f t="shared" si="2"/>
        <v>0.30891766066679144</v>
      </c>
      <c r="J14" s="13">
        <f t="shared" si="7"/>
        <v>2.319801338619</v>
      </c>
      <c r="K14" s="11"/>
      <c r="L14" s="11">
        <f xml:space="preserve"> 0.1 * (EXP(2 * B14) - EXP(B14) * Таблица4[[#This Row],[ui]])</f>
        <v>0.33200088277262252</v>
      </c>
      <c r="M14" s="11">
        <f t="shared" si="3"/>
        <v>0.35049780902536426</v>
      </c>
      <c r="N14" s="11">
        <f xml:space="preserve"> 0.1 * (EXP(2 * (B14 + 0.05)) - EXP(B14 + 0.05) * (P14 + M14/2))</f>
        <v>0.34726977821131694</v>
      </c>
      <c r="O14" s="11">
        <f xml:space="preserve"> 0.1 * (EXP(2 * (B14 + 0.1)) - EXP(B14 + 0.1) * (P14 + N14))</f>
        <v>0.36761854385000048</v>
      </c>
      <c r="P14" s="13">
        <f t="shared" si="8"/>
        <v>2.3201494803279932</v>
      </c>
      <c r="R14" s="12">
        <f t="shared" si="4"/>
        <v>4.7352990877966405E-2</v>
      </c>
      <c r="S14" s="12">
        <f xml:space="preserve"> ABS(Таблица3[[#This Row],[ui]] - Таблица1[[#This Row],[uiточ.]])</f>
        <v>3.155841175472851E-4</v>
      </c>
      <c r="T14" s="12">
        <f xml:space="preserve"> ABS(Таблица4[[#This Row],[ui]] - Таблица1[[#This Row],[uiточ.]])</f>
        <v>3.2557591445936396E-5</v>
      </c>
    </row>
    <row r="15" spans="1:20" ht="15.75" x14ac:dyDescent="0.25">
      <c r="A15" s="2">
        <v>13</v>
      </c>
      <c r="B15" s="6">
        <v>1.3</v>
      </c>
      <c r="C15" s="7">
        <f t="shared" si="5"/>
        <v>2.6204973707678483</v>
      </c>
      <c r="D15" s="8">
        <f t="shared" si="0"/>
        <v>2.6692966676192444</v>
      </c>
      <c r="E15" s="3">
        <f t="shared" si="6"/>
        <v>3.8483557649382334</v>
      </c>
      <c r="F15" s="3">
        <f t="shared" si="1"/>
        <v>0.38483557649382338</v>
      </c>
      <c r="H15" s="12">
        <f xml:space="preserve"> 0.1 * (EXP(2 * B15) - EXP(B15) * Таблица3[[#This Row],[ui]])</f>
        <v>0.38181881708149423</v>
      </c>
      <c r="I15" s="12">
        <f t="shared" si="2"/>
        <v>0.32052423781790562</v>
      </c>
      <c r="J15" s="13">
        <f t="shared" si="7"/>
        <v>2.6287189992857916</v>
      </c>
      <c r="K15" s="11"/>
      <c r="L15" s="11">
        <f xml:space="preserve"> 0.1 * (EXP(2 * B15) - EXP(B15) * Таблица4[[#This Row],[ui]])</f>
        <v>0.36691306457975603</v>
      </c>
      <c r="M15" s="11">
        <f t="shared" si="3"/>
        <v>0.38752741648233935</v>
      </c>
      <c r="N15" s="11">
        <f xml:space="preserve"> 0.1 * (EXP(2 * (B15 + 0.05)) - EXP(B15 + 0.05) * (P15 + M15/2))</f>
        <v>0.38355150011594952</v>
      </c>
      <c r="O15" s="11">
        <f xml:space="preserve"> 0.1 * (EXP(2 * (B15 + 0.1)) - EXP(B15 + 0.1) * (P15 + N15))</f>
        <v>0.40645535000263777</v>
      </c>
      <c r="P15" s="13">
        <f t="shared" si="8"/>
        <v>2.6693419138439909</v>
      </c>
      <c r="R15" s="12">
        <f t="shared" si="4"/>
        <v>4.8799296851396168E-2</v>
      </c>
      <c r="S15" s="12">
        <f xml:space="preserve"> ABS(Таблица3[[#This Row],[ui]] - Таблица1[[#This Row],[uiточ.]])</f>
        <v>4.0577668333452888E-2</v>
      </c>
      <c r="T15" s="12">
        <f xml:space="preserve"> ABS(Таблица4[[#This Row],[ui]] - Таблица1[[#This Row],[uiточ.]])</f>
        <v>4.5246224746442465E-5</v>
      </c>
    </row>
    <row r="16" spans="1:20" ht="15.75" x14ac:dyDescent="0.25">
      <c r="A16" s="2">
        <v>14</v>
      </c>
      <c r="B16" s="6">
        <v>1.4</v>
      </c>
      <c r="C16" s="7">
        <f t="shared" si="5"/>
        <v>3.0053329472616719</v>
      </c>
      <c r="D16" s="8">
        <f t="shared" si="0"/>
        <v>3.0551999668446745</v>
      </c>
      <c r="E16" s="3">
        <f t="shared" si="6"/>
        <v>4.2574207030043087</v>
      </c>
      <c r="F16" s="3">
        <f t="shared" si="1"/>
        <v>0.42574207030043087</v>
      </c>
      <c r="H16" s="12">
        <f xml:space="preserve"> 0.1 * (EXP(2 * B16) - EXP(B16) * Таблица3[[#This Row],[ui]])</f>
        <v>0.44848756937772549</v>
      </c>
      <c r="I16" s="12">
        <f t="shared" si="2"/>
        <v>0.32079742969432967</v>
      </c>
      <c r="J16" s="13">
        <f t="shared" si="7"/>
        <v>2.9492432371036972</v>
      </c>
      <c r="K16" s="11"/>
      <c r="L16" s="11">
        <f xml:space="preserve"> 0.1 * (EXP(2 * B16) - EXP(B16) * Таблица4[[#This Row],[ui]])</f>
        <v>0.4054944536709586</v>
      </c>
      <c r="M16" s="11">
        <f t="shared" si="3"/>
        <v>0.42848748720935231</v>
      </c>
      <c r="N16" s="11">
        <f xml:space="preserve"> 0.1 * (EXP(2 * (B16 + 0.05)) - EXP(B16 + 0.05) * (P16 + M16/2))</f>
        <v>0.42358639045808782</v>
      </c>
      <c r="O16" s="11">
        <f xml:space="preserve"> 0.1 * (EXP(2 * (B16 + 0.1)) - EXP(B16 + 0.1) * (P16 + N16))</f>
        <v>0.44944158336658102</v>
      </c>
      <c r="P16" s="13">
        <f t="shared" si="8"/>
        <v>3.0552629551404862</v>
      </c>
      <c r="R16" s="12">
        <f t="shared" si="4"/>
        <v>4.9867019583002659E-2</v>
      </c>
      <c r="S16" s="12">
        <f xml:space="preserve"> ABS(Таблица3[[#This Row],[ui]] - Таблица1[[#This Row],[uiточ.]])</f>
        <v>0.10595672974097736</v>
      </c>
      <c r="T16" s="12">
        <f xml:space="preserve"> ABS(Таблица4[[#This Row],[ui]] - Таблица1[[#This Row],[uiточ.]])</f>
        <v>6.2988295811639006E-5</v>
      </c>
    </row>
    <row r="17" spans="1:20" ht="15.75" x14ac:dyDescent="0.25">
      <c r="A17" s="2">
        <v>15</v>
      </c>
      <c r="B17" s="6">
        <v>1.5</v>
      </c>
      <c r="C17" s="7">
        <f t="shared" si="5"/>
        <v>3.4310750175621028</v>
      </c>
      <c r="D17" s="8">
        <f t="shared" si="0"/>
        <v>3.4816890703380645</v>
      </c>
      <c r="E17" s="3">
        <f t="shared" si="6"/>
        <v>4.7085255174696083</v>
      </c>
      <c r="F17" s="3">
        <f t="shared" si="1"/>
        <v>0.47085255174696083</v>
      </c>
      <c r="H17" s="12">
        <f xml:space="preserve"> 0.1 * (EXP(2 * B17) - EXP(B17) * Таблица3[[#This Row],[ui]])</f>
        <v>0.54302314072379543</v>
      </c>
      <c r="I17" s="12">
        <f t="shared" si="2"/>
        <v>0.29709810768620815</v>
      </c>
      <c r="J17" s="13">
        <f t="shared" si="7"/>
        <v>3.2700406667980269</v>
      </c>
      <c r="K17" s="11"/>
      <c r="L17" s="11">
        <f xml:space="preserve"> 0.1 * (EXP(2 * B17) - EXP(B17) * Таблица4[[#This Row],[ui]])</f>
        <v>0.44812953530666494</v>
      </c>
      <c r="M17" s="11">
        <f t="shared" si="3"/>
        <v>0.47379886661363813</v>
      </c>
      <c r="N17" s="11">
        <f xml:space="preserve"> 0.1 * (EXP(2 * (B17 + 0.05)) - EXP(B17 + 0.05) * (P17 + M17/2))</f>
        <v>0.46775185216064552</v>
      </c>
      <c r="O17" s="11">
        <f xml:space="preserve"> 0.1 * (EXP(2 * (B17 + 0.1)) - EXP(B17 + 0.1) * (P17 + N17))</f>
        <v>0.49703861248619713</v>
      </c>
      <c r="P17" s="13">
        <f t="shared" si="8"/>
        <v>3.4817769205358893</v>
      </c>
      <c r="R17" s="12">
        <f t="shared" si="4"/>
        <v>5.061405277596176E-2</v>
      </c>
      <c r="S17" s="12">
        <f xml:space="preserve"> ABS(Таблица3[[#This Row],[ui]] - Таблица1[[#This Row],[uiточ.]])</f>
        <v>0.21164840354003767</v>
      </c>
      <c r="T17" s="12">
        <f xml:space="preserve"> ABS(Таблица4[[#This Row],[ui]] - Таблица1[[#This Row],[uiточ.]])</f>
        <v>8.7850197824757004E-5</v>
      </c>
    </row>
    <row r="18" spans="1:20" ht="15.75" x14ac:dyDescent="0.25">
      <c r="A18" s="2">
        <v>16</v>
      </c>
      <c r="B18" s="6">
        <v>1.6</v>
      </c>
      <c r="C18" s="7">
        <f t="shared" si="5"/>
        <v>3.9019275693090636</v>
      </c>
      <c r="D18" s="8">
        <f t="shared" si="0"/>
        <v>3.9530324243951149</v>
      </c>
      <c r="E18" s="3">
        <f t="shared" si="6"/>
        <v>5.2061564286803446</v>
      </c>
      <c r="F18" s="3">
        <f t="shared" si="1"/>
        <v>0.52061564286803452</v>
      </c>
      <c r="H18" s="12">
        <f xml:space="preserve"> 0.1 * (EXP(2 * B18) - EXP(B18) * Таблица3[[#This Row],[ui]])</f>
        <v>0.68643761847718854</v>
      </c>
      <c r="I18" s="12">
        <f t="shared" si="2"/>
        <v>0.22097798260287577</v>
      </c>
      <c r="J18" s="13">
        <f t="shared" si="7"/>
        <v>3.5671387744842349</v>
      </c>
      <c r="K18" s="11"/>
      <c r="L18" s="11">
        <f xml:space="preserve"> 0.1 * (EXP(2 * B18) - EXP(B18) * Таблица4[[#This Row],[ui]])</f>
        <v>0.49524243883300834</v>
      </c>
      <c r="M18" s="11">
        <f t="shared" si="3"/>
        <v>0.52392809256205375</v>
      </c>
      <c r="N18" s="11">
        <f xml:space="preserve"> 0.1 * (EXP(2 * (B18 + 0.05)) - EXP(B18 + 0.05) * (P18 + M18/2))</f>
        <v>0.51645981154722342</v>
      </c>
      <c r="O18" s="11">
        <f xml:space="preserve"> 0.1 * (EXP(2 * (B18 + 0.1)) - EXP(B18 + 0.1) * (P18 + N18))</f>
        <v>0.54976626963392694</v>
      </c>
      <c r="P18" s="13">
        <f t="shared" si="8"/>
        <v>3.9531551847594608</v>
      </c>
      <c r="R18" s="12">
        <f t="shared" si="4"/>
        <v>5.1104855086051337E-2</v>
      </c>
      <c r="S18" s="12">
        <f xml:space="preserve"> ABS(Таблица3[[#This Row],[ui]] - Таблица1[[#This Row],[uiточ.]])</f>
        <v>0.38589364991088004</v>
      </c>
      <c r="T18" s="12">
        <f xml:space="preserve"> ABS(Таблица4[[#This Row],[ui]] - Таблица1[[#This Row],[uiточ.]])</f>
        <v>1.2276036434588633E-4</v>
      </c>
    </row>
    <row r="19" spans="1:20" ht="15.75" x14ac:dyDescent="0.25">
      <c r="A19" s="2">
        <v>17</v>
      </c>
      <c r="B19" s="6">
        <v>1.7</v>
      </c>
      <c r="C19" s="7">
        <f t="shared" si="5"/>
        <v>4.4225432121770982</v>
      </c>
      <c r="D19" s="8">
        <f t="shared" si="0"/>
        <v>4.4739473917271999</v>
      </c>
      <c r="E19" s="3">
        <f t="shared" si="6"/>
        <v>5.7553311662993529</v>
      </c>
      <c r="F19" s="3">
        <f t="shared" si="1"/>
        <v>0.57553311662993534</v>
      </c>
      <c r="H19" s="12">
        <f xml:space="preserve"> 0.1 * (EXP(2 * B19) - EXP(B19) * Таблица3[[#This Row],[ui]])</f>
        <v>0.92281482053819208</v>
      </c>
      <c r="I19" s="12">
        <f t="shared" si="2"/>
        <v>2.2190794257075198E-2</v>
      </c>
      <c r="J19" s="13">
        <f t="shared" si="7"/>
        <v>3.7881167570871108</v>
      </c>
      <c r="K19" s="11"/>
      <c r="L19" s="11">
        <f xml:space="preserve"> 0.1 * (EXP(2 * B19) - EXP(B19) * Таблица4[[#This Row],[ui]])</f>
        <v>0.54730065343214707</v>
      </c>
      <c r="M19" s="11">
        <f t="shared" si="3"/>
        <v>0.5793924327343497</v>
      </c>
      <c r="N19" s="11">
        <f xml:space="preserve"> 0.1 * (EXP(2 * (B19 + 0.05)) - EXP(B19 + 0.05) * (P19 + M19/2))</f>
        <v>0.57015866078183741</v>
      </c>
      <c r="O19" s="11">
        <f xml:space="preserve"> 0.1 * (EXP(2 * (B19 + 0.1)) - EXP(B19 + 0.1) * (P19 + N19))</f>
        <v>0.60821312446438291</v>
      </c>
      <c r="P19" s="13">
        <f t="shared" si="8"/>
        <v>4.4741192708737092</v>
      </c>
      <c r="R19" s="12">
        <f t="shared" si="4"/>
        <v>5.1404179550101681E-2</v>
      </c>
      <c r="S19" s="12">
        <f xml:space="preserve"> ABS(Таблица3[[#This Row],[ui]] - Таблица1[[#This Row],[uiточ.]])</f>
        <v>0.68583063464008909</v>
      </c>
      <c r="T19" s="12">
        <f xml:space="preserve"> ABS(Таблица4[[#This Row],[ui]] - Таблица1[[#This Row],[uiточ.]])</f>
        <v>1.7187914650929059E-4</v>
      </c>
    </row>
    <row r="20" spans="1:20" ht="15.75" x14ac:dyDescent="0.25">
      <c r="A20" s="2">
        <v>18</v>
      </c>
      <c r="B20" s="6">
        <v>1.8</v>
      </c>
      <c r="C20" s="7">
        <f t="shared" si="5"/>
        <v>4.9980763288070333</v>
      </c>
      <c r="D20" s="8">
        <f t="shared" si="0"/>
        <v>5.0496474644129465</v>
      </c>
      <c r="E20" s="3">
        <f t="shared" si="6"/>
        <v>6.3616346541681494</v>
      </c>
      <c r="F20" s="3">
        <f t="shared" si="1"/>
        <v>0.63616346541681501</v>
      </c>
      <c r="H20" s="12">
        <f xml:space="preserve"> 0.1 * (EXP(2 * B20) - EXP(B20) * Таблица3[[#This Row],[ui]])</f>
        <v>1.354721702705513</v>
      </c>
      <c r="I20" s="12">
        <f t="shared" si="2"/>
        <v>-0.49326629672245303</v>
      </c>
      <c r="J20" s="13">
        <f t="shared" si="7"/>
        <v>3.8103075513441862</v>
      </c>
      <c r="K20" s="11"/>
      <c r="L20" s="11">
        <f xml:space="preserve"> 0.1 * (EXP(2 * B20) - EXP(B20) * Таблица4[[#This Row],[ui]])</f>
        <v>0.6048188689030316</v>
      </c>
      <c r="M20" s="11">
        <f t="shared" si="3"/>
        <v>0.64076548401975164</v>
      </c>
      <c r="N20" s="11">
        <f xml:space="preserve"> 0.1 * (EXP(2 * (B20 + 0.05)) - EXP(B20 + 0.05) * (P20 + M20/2))</f>
        <v>0.62933478479021265</v>
      </c>
      <c r="O20" s="11">
        <f xml:space="preserve"> 0.1 * (EXP(2 * (B20 + 0.1)) - EXP(B20 + 0.1) * (P20 + N20))</f>
        <v>0.67304964394219202</v>
      </c>
      <c r="P20" s="13">
        <f t="shared" si="8"/>
        <v>5.0498885983618598</v>
      </c>
      <c r="R20" s="12">
        <f t="shared" si="4"/>
        <v>5.1571135605913199E-2</v>
      </c>
      <c r="S20" s="12">
        <f xml:space="preserve"> ABS(Таблица3[[#This Row],[ui]] - Таблица1[[#This Row],[uiточ.]])</f>
        <v>1.2393399130687603</v>
      </c>
      <c r="T20" s="12">
        <f xml:space="preserve"> ABS(Таблица4[[#This Row],[ui]] - Таблица1[[#This Row],[uiточ.]])</f>
        <v>2.4113394891323026E-4</v>
      </c>
    </row>
    <row r="21" spans="1:20" ht="15.75" x14ac:dyDescent="0.25">
      <c r="A21" s="2">
        <v>19</v>
      </c>
      <c r="B21" s="6">
        <v>1.9</v>
      </c>
      <c r="C21" s="7">
        <f t="shared" si="5"/>
        <v>5.6342397942238485</v>
      </c>
      <c r="D21" s="8">
        <f t="shared" si="0"/>
        <v>5.6858944422792685</v>
      </c>
      <c r="E21" s="3">
        <f t="shared" si="6"/>
        <v>7.0312519666308972</v>
      </c>
      <c r="F21" s="3">
        <f t="shared" si="1"/>
        <v>0.70312519666308981</v>
      </c>
      <c r="H21" s="12">
        <f xml:space="preserve"> 0.1 * (EXP(2 * B21) - EXP(B21) * Таблица3[[#This Row],[ui]])</f>
        <v>2.252379680421432</v>
      </c>
      <c r="I21" s="12">
        <f t="shared" si="2"/>
        <v>-1.8990041862141667</v>
      </c>
      <c r="J21" s="13">
        <f t="shared" si="7"/>
        <v>3.3170412546217332</v>
      </c>
      <c r="K21" s="11"/>
      <c r="L21" s="11">
        <f xml:space="preserve"> 0.1 * (EXP(2 * B21) - EXP(B21) * Таблица4[[#This Row],[ui]])</f>
        <v>0.66836279385932407</v>
      </c>
      <c r="M21" s="11">
        <f t="shared" si="3"/>
        <v>0.70868341104617372</v>
      </c>
      <c r="N21" s="11">
        <f xml:space="preserve"> 0.1 * (EXP(2 * (B21 + 0.05)) - EXP(B21 + 0.05) * (P21 + M21/2))</f>
        <v>0.69451335998302854</v>
      </c>
      <c r="O21" s="11">
        <f xml:space="preserve"> 0.1 * (EXP(2 * (B21 + 0.1)) - EXP(B21 + 0.1) * (P21 + N21))</f>
        <v>0.74504539742137865</v>
      </c>
      <c r="P21" s="13">
        <f t="shared" si="8"/>
        <v>5.6862334401060517</v>
      </c>
      <c r="R21" s="12">
        <f t="shared" si="4"/>
        <v>5.1654648055420083E-2</v>
      </c>
      <c r="S21" s="12">
        <f xml:space="preserve"> ABS(Таблица3[[#This Row],[ui]] - Таблица1[[#This Row],[uiточ.]])</f>
        <v>2.3688531876575354</v>
      </c>
      <c r="T21" s="12">
        <f xml:space="preserve"> ABS(Таблица4[[#This Row],[ui]] - Таблица1[[#This Row],[uiточ.]])</f>
        <v>3.3899782678314949E-4</v>
      </c>
    </row>
    <row r="22" spans="1:20" ht="15.75" x14ac:dyDescent="0.25">
      <c r="A22" s="2">
        <v>20</v>
      </c>
      <c r="B22" s="6">
        <v>2</v>
      </c>
      <c r="C22" s="7">
        <f t="shared" si="5"/>
        <v>6.3373649908869378</v>
      </c>
      <c r="D22" s="8">
        <f t="shared" si="0"/>
        <v>6.3890560989306504</v>
      </c>
      <c r="E22" s="3">
        <f t="shared" si="6"/>
        <v>7.7710045960815251</v>
      </c>
      <c r="F22" s="3">
        <f t="shared" si="1"/>
        <v>0.77710045960815255</v>
      </c>
      <c r="H22" s="12">
        <f xml:space="preserve"> 0.1 * (EXP(2 * B22) - EXP(B22) * Таблица3[[#This Row],[ui]])</f>
        <v>4.4120194584317565</v>
      </c>
      <c r="I22" s="12">
        <f t="shared" si="2"/>
        <v>-3.4793415038642652</v>
      </c>
      <c r="J22" s="13">
        <f t="shared" si="7"/>
        <v>1.4180370684075665</v>
      </c>
      <c r="K22" s="11"/>
      <c r="L22" s="11">
        <f xml:space="preserve"> 0.1 * (EXP(2 * B22) - EXP(B22) * Таблица4[[#This Row],[ui]])</f>
        <v>0.73855268635839555</v>
      </c>
      <c r="M22" s="11">
        <f t="shared" si="3"/>
        <v>0.78385193603956371</v>
      </c>
      <c r="N22" s="11">
        <f xml:space="preserve"> 0.1 * (EXP(2 * (B22 + 0.05)) - EXP(B22 + 0.05) * (P22 + M22/2))</f>
        <v>0.76625793145390309</v>
      </c>
      <c r="O22" s="11">
        <f xml:space="preserve"> 0.1 * (EXP(2 * (B22 + 0.1)) - EXP(B22 + 0.1) * (P22 + N22))</f>
        <v>0.82509204827574301</v>
      </c>
      <c r="P22" s="13">
        <f t="shared" si="8"/>
        <v>6.3895337289959029</v>
      </c>
      <c r="R22" s="12">
        <f t="shared" si="4"/>
        <v>5.1691108043712575E-2</v>
      </c>
      <c r="S22" s="12">
        <f xml:space="preserve"> ABS(Таблица3[[#This Row],[ui]] - Таблица1[[#This Row],[uiточ.]])</f>
        <v>4.9710190305230837</v>
      </c>
      <c r="T22" s="12">
        <f xml:space="preserve"> ABS(Таблица4[[#This Row],[ui]] - Таблица1[[#This Row],[uiточ.]])</f>
        <v>4.7763006525247675E-4</v>
      </c>
    </row>
    <row r="23" spans="1:20" ht="15.75" x14ac:dyDescent="0.25">
      <c r="A23" s="3"/>
      <c r="B23" s="3"/>
      <c r="C23" s="3"/>
      <c r="D23" s="3"/>
      <c r="E23" s="3"/>
      <c r="F23" s="3"/>
      <c r="R23" s="9">
        <f>SUM(R2:R22)</f>
        <v>0.7591037050546745</v>
      </c>
      <c r="S23" s="9">
        <f>SUM(S2:S22)</f>
        <v>10.319702046407137</v>
      </c>
      <c r="T23" s="9">
        <f>SUM(T2:T22)</f>
        <v>1.6610002322533512E-3</v>
      </c>
    </row>
    <row r="24" spans="1:20" ht="15.75" x14ac:dyDescent="0.25">
      <c r="A24" s="4" t="s">
        <v>5</v>
      </c>
      <c r="B24" s="5">
        <f xml:space="preserve"> ($B$22 - $B$2) / 20</f>
        <v>0.1</v>
      </c>
      <c r="C24" s="3"/>
      <c r="D24" s="3"/>
      <c r="E24" s="3"/>
      <c r="F24" s="3"/>
    </row>
    <row r="25" spans="1:20" ht="15.75" x14ac:dyDescent="0.25">
      <c r="A25" s="2"/>
      <c r="B25" s="3"/>
      <c r="C25" s="3"/>
      <c r="D25" s="3"/>
      <c r="E25" s="3"/>
      <c r="F25" s="3"/>
    </row>
    <row r="58" spans="10:10" x14ac:dyDescent="0.25">
      <c r="J58">
        <f xml:space="preserve"> EXP(1)</f>
        <v>2.7182818284590451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F1" workbookViewId="0">
      <selection activeCell="G3" sqref="G3"/>
    </sheetView>
  </sheetViews>
  <sheetFormatPr defaultRowHeight="15" x14ac:dyDescent="0.25"/>
  <cols>
    <col min="3" max="3" width="13" customWidth="1"/>
    <col min="4" max="4" width="14.85546875" customWidth="1"/>
    <col min="5" max="5" width="14.42578125" customWidth="1"/>
    <col min="10" max="10" width="12" bestFit="1" customWidth="1"/>
    <col min="25" max="25" width="17.7109375" customWidth="1"/>
    <col min="26" max="26" width="37" customWidth="1"/>
    <col min="27" max="27" width="33.7109375" customWidth="1"/>
  </cols>
  <sheetData>
    <row r="1" spans="1:27" ht="16.5" thickBot="1" x14ac:dyDescent="0.3">
      <c r="A1" s="10" t="s">
        <v>0</v>
      </c>
      <c r="B1" s="10" t="s">
        <v>1</v>
      </c>
      <c r="C1" s="10" t="s">
        <v>9</v>
      </c>
      <c r="D1" s="10" t="s">
        <v>10</v>
      </c>
      <c r="E1" s="10" t="s">
        <v>15</v>
      </c>
      <c r="F1" s="11"/>
      <c r="G1" s="10" t="s">
        <v>16</v>
      </c>
      <c r="H1" s="10" t="s">
        <v>18</v>
      </c>
      <c r="I1" s="10" t="s">
        <v>17</v>
      </c>
      <c r="J1" s="10" t="s">
        <v>19</v>
      </c>
      <c r="K1" s="10" t="s">
        <v>9</v>
      </c>
      <c r="L1" s="10" t="s">
        <v>10</v>
      </c>
      <c r="M1" s="11"/>
      <c r="N1" s="14" t="s">
        <v>16</v>
      </c>
      <c r="O1" s="14" t="s">
        <v>18</v>
      </c>
      <c r="P1" s="11" t="s">
        <v>20</v>
      </c>
      <c r="Q1" s="11" t="s">
        <v>21</v>
      </c>
      <c r="R1" s="11" t="s">
        <v>17</v>
      </c>
      <c r="S1" s="11" t="s">
        <v>19</v>
      </c>
      <c r="T1" s="11" t="s">
        <v>22</v>
      </c>
      <c r="U1" s="11" t="s">
        <v>23</v>
      </c>
      <c r="V1" s="11" t="s">
        <v>9</v>
      </c>
      <c r="W1" s="11" t="s">
        <v>10</v>
      </c>
      <c r="Y1" s="17" t="s">
        <v>24</v>
      </c>
      <c r="Z1" s="17" t="s">
        <v>25</v>
      </c>
      <c r="AA1" s="17" t="s">
        <v>26</v>
      </c>
    </row>
    <row r="2" spans="1:27" ht="15.75" x14ac:dyDescent="0.25">
      <c r="A2" s="12">
        <v>0</v>
      </c>
      <c r="B2" s="12">
        <v>0</v>
      </c>
      <c r="C2" s="13">
        <f xml:space="preserve"> $B$24</f>
        <v>3</v>
      </c>
      <c r="D2" s="12">
        <f xml:space="preserve"> $B$25</f>
        <v>5</v>
      </c>
      <c r="E2" s="13">
        <f xml:space="preserve"> (7 * EXP(SQRT(3) * Таблица2[[#This Row],[xi]]) - EXP(-Таблица2[[#This Row],[xi]] * SQRT(3))- 3*EXP(Таблица2[[#This Row],[xi]]))</f>
        <v>3</v>
      </c>
      <c r="F2" s="11"/>
      <c r="G2" s="12">
        <f xml:space="preserve"> 0.1 * L2</f>
        <v>0.5</v>
      </c>
      <c r="H2" s="12">
        <f xml:space="preserve"> 0.1 * (((I2 + J2) / 2) + I2)</f>
        <v>0.45465512754226944</v>
      </c>
      <c r="I2" s="12">
        <f xml:space="preserve"> 0.1 *  (6 * EXP(B2) - (-3 * L2))</f>
        <v>2.1</v>
      </c>
      <c r="J2" s="12">
        <f xml:space="preserve"> 0.1 *  (6 * EXP(B2 + 0.1) - (-3 * (L2 + I2)))</f>
        <v>2.7931025508453886</v>
      </c>
      <c r="K2" s="13">
        <v>3</v>
      </c>
      <c r="L2" s="12">
        <v>5</v>
      </c>
      <c r="M2" s="11"/>
      <c r="N2" s="11">
        <v>2.1</v>
      </c>
      <c r="O2" s="11">
        <f xml:space="preserve"> 0.1 *  (6 * EXP(B2 + 0.05) - (-3 * (W2 + R2 / 2)))</f>
        <v>2.2207626578256145</v>
      </c>
      <c r="P2" s="11">
        <f xml:space="preserve"> 0.1 *  (6 * EXP(B2 + 0.05) - (-3 * (W2 + S2 / 2)))</f>
        <v>2.2253770564994571</v>
      </c>
      <c r="Q2" s="11">
        <f xml:space="preserve"> 0.1 *  (6 * EXP(B2 + 0.1) - (-3 * (W2 + T2 / 2)))</f>
        <v>2.2577169495192311</v>
      </c>
      <c r="R2" s="11">
        <f xml:space="preserve"> 0.1 * 6 * EXP(Таблица2[[#This Row],[xi]])</f>
        <v>0.60000000000000009</v>
      </c>
      <c r="S2" s="11">
        <f xml:space="preserve"> 0.1 * 6 * EXP(Таблица2[[#This Row],[xi]] + 0.05)</f>
        <v>0.63076265782561458</v>
      </c>
      <c r="T2" s="11">
        <f xml:space="preserve"> 0.1 * 6 * EXP(Таблица2[[#This Row],[xi]] + 0.05)</f>
        <v>0.63076265782561458</v>
      </c>
      <c r="U2" s="11">
        <f xml:space="preserve"> 0.1 * 6 * EXP(Таблица2[[#This Row],[xi]] + 0.1)</f>
        <v>0.66310255084538872</v>
      </c>
      <c r="V2" s="13">
        <v>3</v>
      </c>
      <c r="W2" s="11">
        <v>5</v>
      </c>
      <c r="Y2" s="12">
        <f xml:space="preserve"> ABS(Таблица2[[#This Row],[u1iточ]] - Таблица2[[#This Row],[u1i]])</f>
        <v>0</v>
      </c>
      <c r="Z2" s="12">
        <f xml:space="preserve"> ABS(K2 - E2)</f>
        <v>0</v>
      </c>
      <c r="AA2" s="12">
        <f xml:space="preserve"> ABS(Таблица8[[#This Row],[u1i]] - Таблица2[[#This Row],[u1iточ]])</f>
        <v>0</v>
      </c>
    </row>
    <row r="3" spans="1:27" ht="15.75" x14ac:dyDescent="0.25">
      <c r="A3" s="12">
        <v>1</v>
      </c>
      <c r="B3" s="12">
        <v>0.1</v>
      </c>
      <c r="C3" s="13">
        <f xml:space="preserve"> C2 + (0.1 * D2)</f>
        <v>3.5</v>
      </c>
      <c r="D3" s="12">
        <f xml:space="preserve"> D2 +  (0.1 * (6 * EXP(B2) - (-3 * C2)))</f>
        <v>6.5</v>
      </c>
      <c r="E3" s="13">
        <f xml:space="preserve"> (7 * EXP(SQRT(3) * Таблица2[[#This Row],[xi]]) - EXP(-Таблица2[[#This Row],[xi]] * SQRT(3))- 3*EXP(Таблица2[[#This Row],[xi]]))</f>
        <v>4.1672917199100237</v>
      </c>
      <c r="F3" s="11"/>
      <c r="G3" s="12">
        <f t="shared" ref="G3:G22" si="0" xml:space="preserve"> 0.1 * L3</f>
        <v>0.65</v>
      </c>
      <c r="H3" s="12">
        <f t="shared" ref="H3:H22" si="1" xml:space="preserve"> 0.1 * (((I3 + J3) / 2) + I3)</f>
        <v>0.56530400363429423</v>
      </c>
      <c r="I3" s="12">
        <f t="shared" ref="I3:I22" si="2" xml:space="preserve"> 0.1 *  (6 * EXP(B3) - (-3 * L3))</f>
        <v>2.6131025508453889</v>
      </c>
      <c r="J3" s="12">
        <f t="shared" ref="J3:J22" si="3" xml:space="preserve"> 0.1 *  (6 * EXP(B3 + 0.1) - (-3 * (L3 + I3)))</f>
        <v>3.4667724201497183</v>
      </c>
      <c r="K3" s="13">
        <f xml:space="preserve"> K2 + ((G2 + H2) / 2)</f>
        <v>3.4773275637711345</v>
      </c>
      <c r="L3" s="12">
        <f xml:space="preserve"> L2 +  (0.1 * (6 * EXP(B2) - (-3 * K2)))</f>
        <v>6.5</v>
      </c>
      <c r="M3" s="11"/>
      <c r="N3" s="11">
        <v>2.6131025508453889</v>
      </c>
      <c r="O3" s="11">
        <f t="shared" ref="O3:O21" si="4" xml:space="preserve"> 0.1 *  (6 * EXP(B3 + 0.05) - (-3 * (W3 + R3 / 2)))</f>
        <v>2.4858735873711706</v>
      </c>
      <c r="P3" s="11">
        <f t="shared" ref="P3:P22" si="5" xml:space="preserve"> 0.1 *  (6 * EXP(B3 + 0.05) - (-3 * (W3 + S3 / 2)))</f>
        <v>2.4909732865899077</v>
      </c>
      <c r="Q3" s="11">
        <f t="shared" ref="Q3:Q22" si="6" xml:space="preserve"> 0.1 *  (6 * EXP(B3 + 0.1) - (-3 * (W3 + T3 / 2)))</f>
        <v>2.5267143958490399</v>
      </c>
      <c r="R3" s="11">
        <f xml:space="preserve"> 0.1 * 6 * EXP(Таблица2[[#This Row],[xi]])</f>
        <v>0.66310255084538872</v>
      </c>
      <c r="S3" s="11">
        <f xml:space="preserve"> 0.1 * 6 * EXP(Таблица2[[#This Row],[xi]] + 0.05)</f>
        <v>0.69710054563696999</v>
      </c>
      <c r="T3" s="11">
        <f xml:space="preserve"> 0.1 * 6 * EXP(Таблица2[[#This Row],[xi]] + 0.05)</f>
        <v>0.69710054563696999</v>
      </c>
      <c r="U3" s="11">
        <f xml:space="preserve"> 0.1 * 6 * EXP(Таблица2[[#This Row],[xi]] + 0.1)</f>
        <v>0.73284165489610198</v>
      </c>
      <c r="V3" s="13">
        <f xml:space="preserve"> V2 + ((N2 + 2 * O2 + 2 * P2 + Q2) / 6)</f>
        <v>5.2083327296948951</v>
      </c>
      <c r="W3" s="11">
        <f xml:space="preserve"> W2 + ((R2 + 2 * S2 + 2 * T2 + U2) / 6)</f>
        <v>5.6310255303579746</v>
      </c>
      <c r="Y3" s="12">
        <f xml:space="preserve"> ABS(Таблица2[[#This Row],[u1iточ]] - Таблица2[[#This Row],[u1i]])</f>
        <v>0.66729171991002367</v>
      </c>
      <c r="Z3" s="12">
        <f t="shared" ref="Z3:Z22" si="7" xml:space="preserve"> ABS(K3 - E3)</f>
        <v>0.68996415613888917</v>
      </c>
      <c r="AA3" s="12">
        <f xml:space="preserve"> ABS(Таблица8[[#This Row],[u1i]] - Таблица2[[#This Row],[u1iточ]])</f>
        <v>1.0410410097848715</v>
      </c>
    </row>
    <row r="4" spans="1:27" ht="15.75" x14ac:dyDescent="0.25">
      <c r="A4" s="12">
        <v>2</v>
      </c>
      <c r="B4" s="12">
        <v>0.2</v>
      </c>
      <c r="C4" s="13">
        <f t="shared" ref="C4:C22" si="8" xml:space="preserve"> C3 + (0.1 * D3)</f>
        <v>4.1500000000000004</v>
      </c>
      <c r="D4" s="12">
        <f t="shared" ref="D4:D22" si="9" xml:space="preserve"> D3 +  (0.1 * (6 * EXP(B3) - (-3 * C3)))</f>
        <v>8.2131025508453881</v>
      </c>
      <c r="E4" s="13">
        <f xml:space="preserve"> (7 * EXP(SQRT(3) * Таблица2[[#This Row],[xi]]) - EXP(-Таблица2[[#This Row],[xi]] * SQRT(3))- 3*EXP(Таблица2[[#This Row],[xi]]))</f>
        <v>5.5264465798641798</v>
      </c>
      <c r="F4" s="11"/>
      <c r="G4" s="12">
        <f t="shared" si="0"/>
        <v>0.82063008199767296</v>
      </c>
      <c r="H4" s="12">
        <f t="shared" si="1"/>
        <v>0.69072104017363589</v>
      </c>
      <c r="I4" s="12">
        <f t="shared" si="2"/>
        <v>3.1947319008891206</v>
      </c>
      <c r="J4" s="12">
        <f t="shared" si="3"/>
        <v>4.2302251008053569</v>
      </c>
      <c r="K4" s="13">
        <f t="shared" ref="K4:K22" si="10" xml:space="preserve"> K3 + ((G3 + H3) / 2)</f>
        <v>4.0849795655882817</v>
      </c>
      <c r="L4" s="12">
        <f t="shared" ref="L4:L22" si="11" xml:space="preserve"> L3 +  (0.1 * (6 * EXP(B3) - (-3 * K3)))</f>
        <v>8.2063008199767289</v>
      </c>
      <c r="M4" s="11"/>
      <c r="N4" s="11">
        <v>3.1947319008891206</v>
      </c>
      <c r="O4" s="11">
        <f t="shared" si="4"/>
        <v>2.7788664767689215</v>
      </c>
      <c r="P4" s="11">
        <f t="shared" si="5"/>
        <v>2.7845025160364028</v>
      </c>
      <c r="Q4" s="11">
        <f t="shared" si="6"/>
        <v>2.8240025505693596</v>
      </c>
      <c r="R4" s="11">
        <f xml:space="preserve"> 0.1 * 6 * EXP(Таблица2[[#This Row],[xi]])</f>
        <v>0.73284165489610198</v>
      </c>
      <c r="S4" s="11">
        <f xml:space="preserve"> 0.1 * 6 * EXP(Таблица2[[#This Row],[xi]] + 0.05)</f>
        <v>0.77041525001264499</v>
      </c>
      <c r="T4" s="11">
        <f xml:space="preserve"> 0.1 * 6 * EXP(Таблица2[[#This Row],[xi]] + 0.05)</f>
        <v>0.77041525001264499</v>
      </c>
      <c r="U4" s="11">
        <f xml:space="preserve"> 0.1 * 6 * EXP(Таблица2[[#This Row],[xi]] + 0.1)</f>
        <v>0.80991528454560202</v>
      </c>
      <c r="V4" s="13">
        <f t="shared" ref="V4:V22" si="12" xml:space="preserve"> V3 + ((N3 + 2 * O3 + 2 * P3 + Q3) / 6)</f>
        <v>7.7239178454643262</v>
      </c>
      <c r="W4" s="11">
        <f t="shared" ref="W4:W22" si="13" xml:space="preserve"> W3 + ((R3 + 2 * S3 + 2 * T3 + U3) / 6)</f>
        <v>6.3284165950728699</v>
      </c>
      <c r="Y4" s="12">
        <f xml:space="preserve"> ABS(Таблица2[[#This Row],[u1iточ]] - Таблица2[[#This Row],[u1i]])</f>
        <v>1.3764465798641794</v>
      </c>
      <c r="Z4" s="12">
        <f t="shared" si="7"/>
        <v>1.4414670142758981</v>
      </c>
      <c r="AA4" s="12">
        <f xml:space="preserve"> ABS(Таблица8[[#This Row],[u1i]] - Таблица2[[#This Row],[u1iточ]])</f>
        <v>2.1974712656001465</v>
      </c>
    </row>
    <row r="5" spans="1:27" ht="15.75" x14ac:dyDescent="0.25">
      <c r="A5" s="12">
        <v>3</v>
      </c>
      <c r="B5" s="12">
        <v>0.3</v>
      </c>
      <c r="C5" s="13">
        <f t="shared" si="8"/>
        <v>4.9713102550845392</v>
      </c>
      <c r="D5" s="12">
        <f t="shared" si="9"/>
        <v>10.19094420574149</v>
      </c>
      <c r="E5" s="13">
        <f xml:space="preserve"> (7 * EXP(SQRT(3) * Таблица2[[#This Row],[xi]]) - EXP(-Таблица2[[#This Row],[xi]] * SQRT(3))- 3*EXP(Таблица2[[#This Row],[xi]]))</f>
        <v>7.1253384462373202</v>
      </c>
      <c r="F5" s="11"/>
      <c r="G5" s="12">
        <f t="shared" si="0"/>
        <v>1.0164636344549316</v>
      </c>
      <c r="H5" s="12">
        <f t="shared" si="1"/>
        <v>0.83400980710269335</v>
      </c>
      <c r="I5" s="12">
        <f t="shared" si="2"/>
        <v>3.8593061879103967</v>
      </c>
      <c r="J5" s="12">
        <f t="shared" si="3"/>
        <v>5.1022775783226759</v>
      </c>
      <c r="K5" s="13">
        <f t="shared" si="10"/>
        <v>4.8406551266739362</v>
      </c>
      <c r="L5" s="12">
        <f t="shared" si="11"/>
        <v>10.164636344549315</v>
      </c>
      <c r="M5" s="11"/>
      <c r="N5" s="11">
        <v>3.8593061879103967</v>
      </c>
      <c r="O5" s="11">
        <f t="shared" si="4"/>
        <v>3.1026736973342701</v>
      </c>
      <c r="P5" s="11">
        <f t="shared" si="5"/>
        <v>3.1089024840258226</v>
      </c>
      <c r="Q5" s="11">
        <f t="shared" si="6"/>
        <v>3.1525567734546307</v>
      </c>
      <c r="R5" s="11">
        <f xml:space="preserve"> 0.1 * 6 * EXP(Таблица2[[#This Row],[xi]])</f>
        <v>0.80991528454560202</v>
      </c>
      <c r="S5" s="11">
        <f xml:space="preserve"> 0.1 * 6 * EXP(Таблица2[[#This Row],[xi]] + 0.05)</f>
        <v>0.85144052915595436</v>
      </c>
      <c r="T5" s="11">
        <f xml:space="preserve"> 0.1 * 6 * EXP(Таблица2[[#This Row],[xi]] + 0.05)</f>
        <v>0.85144052915595436</v>
      </c>
      <c r="U5" s="11">
        <f xml:space="preserve"> 0.1 * 6 * EXP(Таблица2[[#This Row],[xi]] + 0.1)</f>
        <v>0.89509481858476236</v>
      </c>
      <c r="V5" s="13">
        <f t="shared" si="12"/>
        <v>10.581496584975849</v>
      </c>
      <c r="W5" s="11">
        <f t="shared" si="13"/>
        <v>7.0991529183215842</v>
      </c>
      <c r="Y5" s="12">
        <f xml:space="preserve"> ABS(Таблица2[[#This Row],[u1iточ]] - Таблица2[[#This Row],[u1i]])</f>
        <v>2.154028191152781</v>
      </c>
      <c r="Z5" s="12">
        <f t="shared" si="7"/>
        <v>2.284683319563384</v>
      </c>
      <c r="AA5" s="12">
        <f xml:space="preserve"> ABS(Таблица8[[#This Row],[u1i]] - Таблица2[[#This Row],[u1iточ]])</f>
        <v>3.4561581387385285</v>
      </c>
    </row>
    <row r="6" spans="1:27" ht="15.75" x14ac:dyDescent="0.25">
      <c r="A6" s="12">
        <v>4</v>
      </c>
      <c r="B6" s="12">
        <v>0.4</v>
      </c>
      <c r="C6" s="13">
        <f t="shared" si="8"/>
        <v>5.9904046756586879</v>
      </c>
      <c r="D6" s="12">
        <f t="shared" si="9"/>
        <v>12.492252566812454</v>
      </c>
      <c r="E6" s="13">
        <f xml:space="preserve"> (7 * EXP(SQRT(3) * Таблица2[[#This Row],[xi]]) - EXP(-Таблица2[[#This Row],[xi]] * SQRT(3))- 3*EXP(Таблица2[[#This Row],[xi]]))</f>
        <v>9.0197871939140501</v>
      </c>
      <c r="F6" s="11"/>
      <c r="G6" s="12">
        <f t="shared" si="0"/>
        <v>1.2426748167097099</v>
      </c>
      <c r="H6" s="12">
        <f t="shared" si="1"/>
        <v>0.99867753996525266</v>
      </c>
      <c r="I6" s="12">
        <f t="shared" si="2"/>
        <v>4.623119268713892</v>
      </c>
      <c r="J6" s="12">
        <f t="shared" si="3"/>
        <v>6.104192993163374</v>
      </c>
      <c r="K6" s="13">
        <f t="shared" si="10"/>
        <v>5.7658918474527487</v>
      </c>
      <c r="L6" s="12">
        <f t="shared" si="11"/>
        <v>12.426748167097099</v>
      </c>
      <c r="M6" s="11"/>
      <c r="N6" s="11">
        <v>4.623119268713892</v>
      </c>
      <c r="O6" s="11">
        <f t="shared" si="4"/>
        <v>3.4605360205659998</v>
      </c>
      <c r="P6" s="11">
        <f t="shared" si="5"/>
        <v>3.4674198944724015</v>
      </c>
      <c r="Q6" s="11">
        <f t="shared" si="6"/>
        <v>3.5156653455983768</v>
      </c>
      <c r="R6" s="11">
        <f xml:space="preserve"> 0.1 * 6 * EXP(Таблица2[[#This Row],[xi]])</f>
        <v>0.89509481858476236</v>
      </c>
      <c r="S6" s="11">
        <f xml:space="preserve"> 0.1 * 6 * EXP(Таблица2[[#This Row],[xi]] + 0.05)</f>
        <v>0.94098731129410151</v>
      </c>
      <c r="T6" s="11">
        <f xml:space="preserve"> 0.1 * 6 * EXP(Таблица2[[#This Row],[xi]] + 0.05)</f>
        <v>0.94098731129410151</v>
      </c>
      <c r="U6" s="11">
        <f xml:space="preserve"> 0.1 * 6 * EXP(Таблица2[[#This Row],[xi]] + 0.1)</f>
        <v>0.98923276242007707</v>
      </c>
      <c r="V6" s="13">
        <f t="shared" si="12"/>
        <v>13.820665805656718</v>
      </c>
      <c r="W6" s="11">
        <f t="shared" si="13"/>
        <v>7.950948288280614</v>
      </c>
      <c r="Y6" s="12">
        <f xml:space="preserve"> ABS(Таблица2[[#This Row],[u1iточ]] - Таблица2[[#This Row],[u1i]])</f>
        <v>3.0293825182553622</v>
      </c>
      <c r="Z6" s="12">
        <f t="shared" si="7"/>
        <v>3.2538953464613014</v>
      </c>
      <c r="AA6" s="12">
        <f xml:space="preserve"> ABS(Таблица8[[#This Row],[u1i]] - Таблица2[[#This Row],[u1iточ]])</f>
        <v>4.8008786117426681</v>
      </c>
    </row>
    <row r="7" spans="1:27" ht="15.75" x14ac:dyDescent="0.25">
      <c r="A7" s="12">
        <v>5</v>
      </c>
      <c r="B7" s="12">
        <v>0.5</v>
      </c>
      <c r="C7" s="13">
        <f t="shared" si="8"/>
        <v>7.2396299323399331</v>
      </c>
      <c r="D7" s="12">
        <f t="shared" si="9"/>
        <v>15.184468788094822</v>
      </c>
      <c r="E7" s="13">
        <f xml:space="preserve"> (7 * EXP(SQRT(3) * Таблица2[[#This Row],[xi]]) - EXP(-Таблица2[[#This Row],[xi]] * SQRT(3))- 3*EXP(Таблица2[[#This Row],[xi]]))</f>
        <v>11.275314888498656</v>
      </c>
      <c r="F7" s="11"/>
      <c r="G7" s="12">
        <f t="shared" si="0"/>
        <v>1.5051610539917686</v>
      </c>
      <c r="H7" s="12">
        <f t="shared" si="1"/>
        <v>1.1887158496357189</v>
      </c>
      <c r="I7" s="12">
        <f t="shared" si="2"/>
        <v>5.5047159243953825</v>
      </c>
      <c r="J7" s="12">
        <f t="shared" si="3"/>
        <v>7.2601692195282261</v>
      </c>
      <c r="K7" s="13">
        <f t="shared" si="10"/>
        <v>6.88656802579023</v>
      </c>
      <c r="L7" s="12">
        <f t="shared" si="11"/>
        <v>15.051610539917686</v>
      </c>
      <c r="M7" s="11"/>
      <c r="N7" s="11">
        <v>5.5047159243953825</v>
      </c>
      <c r="O7" s="11">
        <f t="shared" si="4"/>
        <v>3.8560350528766953</v>
      </c>
      <c r="P7" s="11">
        <f t="shared" si="5"/>
        <v>3.8636429101217495</v>
      </c>
      <c r="Q7" s="11">
        <f t="shared" si="6"/>
        <v>3.9169623796356179</v>
      </c>
      <c r="R7" s="11">
        <f xml:space="preserve"> 0.1 * 6 * EXP(Таблица2[[#This Row],[xi]])</f>
        <v>0.98923276242007707</v>
      </c>
      <c r="S7" s="11">
        <f xml:space="preserve"> 0.1 * 6 * EXP(Таблица2[[#This Row],[xi]] + 0.05)</f>
        <v>1.0399518107204373</v>
      </c>
      <c r="T7" s="11">
        <f xml:space="preserve"> 0.1 * 6 * EXP(Таблица2[[#This Row],[xi]] + 0.05)</f>
        <v>1.0399518107204373</v>
      </c>
      <c r="U7" s="11">
        <f xml:space="preserve"> 0.1 * 6 * EXP(Таблица2[[#This Row],[xi]] + 0.1)</f>
        <v>1.0932712802343054</v>
      </c>
      <c r="V7" s="13">
        <f t="shared" si="12"/>
        <v>17.486448546388232</v>
      </c>
      <c r="W7" s="11">
        <f t="shared" si="13"/>
        <v>8.8923277593108221</v>
      </c>
      <c r="Y7" s="12">
        <f xml:space="preserve"> ABS(Таблица2[[#This Row],[u1iточ]] - Таблица2[[#This Row],[u1i]])</f>
        <v>4.0356849561587227</v>
      </c>
      <c r="Z7" s="12">
        <f t="shared" si="7"/>
        <v>4.3887468627084258</v>
      </c>
      <c r="AA7" s="12">
        <f xml:space="preserve"> ABS(Таблица8[[#This Row],[u1i]] - Таблица2[[#This Row],[u1iточ]])</f>
        <v>6.2111336578895759</v>
      </c>
    </row>
    <row r="8" spans="1:27" ht="15.75" x14ac:dyDescent="0.25">
      <c r="A8" s="12">
        <v>6</v>
      </c>
      <c r="B8" s="12">
        <v>0.6</v>
      </c>
      <c r="C8" s="13">
        <f t="shared" si="8"/>
        <v>8.7580768111494152</v>
      </c>
      <c r="D8" s="12">
        <f t="shared" si="9"/>
        <v>18.345590530216878</v>
      </c>
      <c r="E8" s="13">
        <f xml:space="preserve"> (7 * EXP(SQRT(3) * Таблица2[[#This Row],[xi]]) - EXP(-Таблица2[[#This Row],[xi]] * SQRT(3))- 3*EXP(Таблица2[[#This Row],[xi]]))</f>
        <v>13.969201902372081</v>
      </c>
      <c r="F8" s="11"/>
      <c r="G8" s="12">
        <f t="shared" si="0"/>
        <v>1.8106813710074832</v>
      </c>
      <c r="H8" s="12">
        <f t="shared" si="1"/>
        <v>1.4086918267626014</v>
      </c>
      <c r="I8" s="12">
        <f t="shared" si="2"/>
        <v>6.5253153932567542</v>
      </c>
      <c r="J8" s="12">
        <f t="shared" si="3"/>
        <v>8.5978903554817627</v>
      </c>
      <c r="K8" s="13">
        <f t="shared" si="10"/>
        <v>8.2335064776039744</v>
      </c>
      <c r="L8" s="12">
        <f t="shared" si="11"/>
        <v>18.106813710074832</v>
      </c>
      <c r="M8" s="11"/>
      <c r="N8" s="11">
        <v>6.5253153932567542</v>
      </c>
      <c r="O8" s="11">
        <f t="shared" si="4"/>
        <v>4.2931290815135368</v>
      </c>
      <c r="P8" s="11">
        <f t="shared" si="5"/>
        <v>4.3015370640896418</v>
      </c>
      <c r="Q8" s="11">
        <f t="shared" si="6"/>
        <v>4.3604641911635893</v>
      </c>
      <c r="R8" s="11">
        <f xml:space="preserve"> 0.1 * 6 * EXP(Таблица2[[#This Row],[xi]])</f>
        <v>1.0932712802343054</v>
      </c>
      <c r="S8" s="11">
        <f xml:space="preserve"> 0.1 * 6 * EXP(Таблица2[[#This Row],[xi]] + 0.05)</f>
        <v>1.1493244974083379</v>
      </c>
      <c r="T8" s="11">
        <f xml:space="preserve"> 0.1 * 6 * EXP(Таблица2[[#This Row],[xi]] + 0.05)</f>
        <v>1.1493244974083379</v>
      </c>
      <c r="U8" s="11">
        <f xml:space="preserve"> 0.1 * 6 * EXP(Таблица2[[#This Row],[xi]] + 0.1)</f>
        <v>1.2082516244822861</v>
      </c>
      <c r="V8" s="13">
        <f t="shared" si="12"/>
        <v>21.629954251392881</v>
      </c>
      <c r="W8" s="11">
        <f t="shared" si="13"/>
        <v>9.9327129735668436</v>
      </c>
      <c r="Y8" s="12">
        <f xml:space="preserve"> ABS(Таблица2[[#This Row],[u1iточ]] - Таблица2[[#This Row],[u1i]])</f>
        <v>5.2111250912226659</v>
      </c>
      <c r="Z8" s="12">
        <f t="shared" si="7"/>
        <v>5.7356954247681067</v>
      </c>
      <c r="AA8" s="12">
        <f xml:space="preserve"> ABS(Таблица8[[#This Row],[u1i]] - Таблица2[[#This Row],[u1iточ]])</f>
        <v>7.6607523490208003</v>
      </c>
    </row>
    <row r="9" spans="1:27" ht="15.75" x14ac:dyDescent="0.25">
      <c r="A9" s="12">
        <v>7</v>
      </c>
      <c r="B9" s="12">
        <v>0.7</v>
      </c>
      <c r="C9" s="13">
        <f t="shared" si="8"/>
        <v>10.592635864171104</v>
      </c>
      <c r="D9" s="12">
        <f t="shared" si="9"/>
        <v>22.066284853796009</v>
      </c>
      <c r="E9" s="13">
        <f xml:space="preserve"> (7 * EXP(SQRT(3) * Таблица2[[#This Row],[xi]]) - EXP(-Таблица2[[#This Row],[xi]] * SQRT(3))- 3*EXP(Таблица2[[#This Row],[xi]]))</f>
        <v>17.19290565850384</v>
      </c>
      <c r="F9" s="11"/>
      <c r="G9" s="12">
        <f t="shared" si="0"/>
        <v>2.1670136933590327</v>
      </c>
      <c r="H9" s="12">
        <f t="shared" si="1"/>
        <v>1.6638515781109278</v>
      </c>
      <c r="I9" s="12">
        <f t="shared" si="2"/>
        <v>7.7092927045593846</v>
      </c>
      <c r="J9" s="12">
        <f t="shared" si="3"/>
        <v>10.149153448540396</v>
      </c>
      <c r="K9" s="13">
        <f t="shared" si="10"/>
        <v>9.8431930764890172</v>
      </c>
      <c r="L9" s="12">
        <f t="shared" si="11"/>
        <v>21.670136933590328</v>
      </c>
      <c r="M9" s="11"/>
      <c r="N9" s="11">
        <v>7.7092927045593846</v>
      </c>
      <c r="O9" s="11">
        <f t="shared" si="4"/>
        <v>4.7761926904274983</v>
      </c>
      <c r="P9" s="11">
        <f t="shared" si="5"/>
        <v>4.7854849482502964</v>
      </c>
      <c r="Q9" s="11">
        <f t="shared" si="6"/>
        <v>4.8506094953781727</v>
      </c>
      <c r="R9" s="11">
        <f xml:space="preserve"> 0.1 * 6 * EXP(Таблица2[[#This Row],[xi]])</f>
        <v>1.2082516244822861</v>
      </c>
      <c r="S9" s="11">
        <f xml:space="preserve"> 0.1 * 6 * EXP(Таблица2[[#This Row],[xi]] + 0.05)</f>
        <v>1.270200009967605</v>
      </c>
      <c r="T9" s="11">
        <f xml:space="preserve"> 0.1 * 6 * EXP(Таблица2[[#This Row],[xi]] + 0.05)</f>
        <v>1.270200009967605</v>
      </c>
      <c r="U9" s="11">
        <f xml:space="preserve"> 0.1 * 6 * EXP(Таблица2[[#This Row],[xi]] + 0.1)</f>
        <v>1.3353245570954806</v>
      </c>
      <c r="V9" s="13">
        <f t="shared" si="12"/>
        <v>26.309139563997331</v>
      </c>
      <c r="W9" s="11">
        <f t="shared" si="13"/>
        <v>11.082516455958501</v>
      </c>
      <c r="Y9" s="12">
        <f xml:space="preserve"> ABS(Таблица2[[#This Row],[u1iточ]] - Таблица2[[#This Row],[u1i]])</f>
        <v>6.6002697943327355</v>
      </c>
      <c r="Z9" s="12">
        <f t="shared" si="7"/>
        <v>7.3497125820148224</v>
      </c>
      <c r="AA9" s="12">
        <f xml:space="preserve"> ABS(Таблица8[[#This Row],[u1i]] - Таблица2[[#This Row],[u1iточ]])</f>
        <v>9.1162339054934911</v>
      </c>
    </row>
    <row r="10" spans="1:27" ht="15.75" x14ac:dyDescent="0.25">
      <c r="A10" s="12">
        <v>8</v>
      </c>
      <c r="B10" s="12">
        <v>0.8</v>
      </c>
      <c r="C10" s="13">
        <f t="shared" si="8"/>
        <v>12.799264349550706</v>
      </c>
      <c r="D10" s="12">
        <f t="shared" si="9"/>
        <v>26.452327237529627</v>
      </c>
      <c r="E10" s="13">
        <f xml:space="preserve"> (7 * EXP(SQRT(3) * Таблица2[[#This Row],[xi]]) - EXP(-Таблица2[[#This Row],[xi]] * SQRT(3))- 3*EXP(Таблица2[[#This Row],[xi]]))</f>
        <v>21.054915692016678</v>
      </c>
      <c r="F10" s="11"/>
      <c r="G10" s="12">
        <f t="shared" si="0"/>
        <v>2.5831346481019324</v>
      </c>
      <c r="H10" s="12">
        <f t="shared" si="1"/>
        <v>1.9602384932812094</v>
      </c>
      <c r="I10" s="12">
        <f t="shared" si="2"/>
        <v>9.084728501401278</v>
      </c>
      <c r="J10" s="12">
        <f t="shared" si="3"/>
        <v>11.950584361420349</v>
      </c>
      <c r="K10" s="13">
        <f t="shared" si="10"/>
        <v>11.758625712223997</v>
      </c>
      <c r="L10" s="12">
        <f t="shared" si="11"/>
        <v>25.83134648101932</v>
      </c>
      <c r="M10" s="11"/>
      <c r="N10" s="11">
        <v>9.084728501401278</v>
      </c>
      <c r="O10" s="11">
        <f t="shared" si="4"/>
        <v>5.3100605425798761</v>
      </c>
      <c r="P10" s="11">
        <f t="shared" si="5"/>
        <v>5.3203300756888936</v>
      </c>
      <c r="Q10" s="11">
        <f t="shared" si="6"/>
        <v>5.3923038312274691</v>
      </c>
      <c r="R10" s="11">
        <f xml:space="preserve"> 0.1 * 6 * EXP(Таблица2[[#This Row],[xi]])</f>
        <v>1.3353245570954808</v>
      </c>
      <c r="S10" s="11">
        <f xml:space="preserve"> 0.1 * 6 * EXP(Таблица2[[#This Row],[xi]] + 0.05)</f>
        <v>1.403788111155595</v>
      </c>
      <c r="T10" s="11">
        <f xml:space="preserve"> 0.1 * 6 * EXP(Таблица2[[#This Row],[xi]] + 0.05)</f>
        <v>1.403788111155595</v>
      </c>
      <c r="U10" s="11">
        <f xml:space="preserve"> 0.1 * 6 * EXP(Таблица2[[#This Row],[xi]] + 0.1)</f>
        <v>1.4757618666941701</v>
      </c>
      <c r="V10" s="13">
        <f t="shared" si="12"/>
        <v>31.589682476879521</v>
      </c>
      <c r="W10" s="11">
        <f t="shared" si="13"/>
        <v>12.353245826199865</v>
      </c>
      <c r="Y10" s="12">
        <f xml:space="preserve"> ABS(Таблица2[[#This Row],[u1iточ]] - Таблица2[[#This Row],[u1i]])</f>
        <v>8.2556513424659723</v>
      </c>
      <c r="Z10" s="12">
        <f t="shared" si="7"/>
        <v>9.2962899797926806</v>
      </c>
      <c r="AA10" s="12">
        <f xml:space="preserve"> ABS(Таблица8[[#This Row],[u1i]] - Таблица2[[#This Row],[u1iточ]])</f>
        <v>10.534766784862843</v>
      </c>
    </row>
    <row r="11" spans="1:27" ht="15.75" x14ac:dyDescent="0.25">
      <c r="A11" s="12">
        <v>9</v>
      </c>
      <c r="B11" s="12">
        <v>0.9</v>
      </c>
      <c r="C11" s="13">
        <f t="shared" si="8"/>
        <v>15.444497073303669</v>
      </c>
      <c r="D11" s="12">
        <f t="shared" si="9"/>
        <v>31.62743109949032</v>
      </c>
      <c r="E11" s="13">
        <f xml:space="preserve"> (7 * EXP(SQRT(3) * Таблица2[[#This Row],[xi]]) - EXP(-Таблица2[[#This Row],[xi]] * SQRT(3))- 3*EXP(Таблица2[[#This Row],[xi]]))</f>
        <v>25.684131941292655</v>
      </c>
      <c r="F11" s="11"/>
      <c r="G11" s="12">
        <f t="shared" si="0"/>
        <v>3.0694258751782004</v>
      </c>
      <c r="H11" s="12">
        <f t="shared" si="1"/>
        <v>2.3048288523482485</v>
      </c>
      <c r="I11" s="12">
        <f t="shared" si="2"/>
        <v>10.68403949222877</v>
      </c>
      <c r="J11" s="12">
        <f t="shared" si="3"/>
        <v>14.044458570278659</v>
      </c>
      <c r="K11" s="13">
        <f t="shared" si="10"/>
        <v>14.030312282915569</v>
      </c>
      <c r="L11" s="12">
        <f t="shared" si="11"/>
        <v>30.694258751782002</v>
      </c>
      <c r="M11" s="11"/>
      <c r="N11" s="11">
        <v>10.68403949222877</v>
      </c>
      <c r="O11" s="11">
        <f t="shared" si="4"/>
        <v>5.9000757668741945</v>
      </c>
      <c r="P11" s="11">
        <f t="shared" si="5"/>
        <v>5.911425356208496</v>
      </c>
      <c r="Q11" s="11">
        <f t="shared" si="6"/>
        <v>5.9909686576944141</v>
      </c>
      <c r="R11" s="11">
        <f xml:space="preserve"> 0.1 * 6 * EXP(Таблица2[[#This Row],[xi]])</f>
        <v>1.4757618666941701</v>
      </c>
      <c r="S11" s="11">
        <f xml:space="preserve"> 0.1 * 6 * EXP(Таблица2[[#This Row],[xi]] + 0.05)</f>
        <v>1.5514257955895081</v>
      </c>
      <c r="T11" s="11">
        <f xml:space="preserve"> 0.1 * 6 * EXP(Таблица2[[#This Row],[xi]] + 0.05)</f>
        <v>1.5514257955895081</v>
      </c>
      <c r="U11" s="11">
        <f xml:space="preserve"> 0.1 * 6 * EXP(Таблица2[[#This Row],[xi]] + 0.1)</f>
        <v>1.6309690970754274</v>
      </c>
      <c r="V11" s="13">
        <f t="shared" si="12"/>
        <v>37.545984738407235</v>
      </c>
      <c r="W11" s="11">
        <f t="shared" si="13"/>
        <v>13.757618970935203</v>
      </c>
      <c r="Y11" s="12">
        <f xml:space="preserve"> ABS(Таблица2[[#This Row],[u1iточ]] - Таблица2[[#This Row],[u1i]])</f>
        <v>10.239634867988986</v>
      </c>
      <c r="Z11" s="12">
        <f t="shared" si="7"/>
        <v>11.653819658377087</v>
      </c>
      <c r="AA11" s="12">
        <f xml:space="preserve"> ABS(Таблица8[[#This Row],[u1i]] - Таблица2[[#This Row],[u1iточ]])</f>
        <v>11.86185279711458</v>
      </c>
    </row>
    <row r="12" spans="1:27" ht="15.75" x14ac:dyDescent="0.25">
      <c r="A12" s="12">
        <v>10</v>
      </c>
      <c r="B12" s="12">
        <v>1</v>
      </c>
      <c r="C12" s="13">
        <f t="shared" si="8"/>
        <v>18.607240183252699</v>
      </c>
      <c r="D12" s="12">
        <f t="shared" si="9"/>
        <v>37.73654208817559</v>
      </c>
      <c r="E12" s="13">
        <f xml:space="preserve"> (7 * EXP(SQRT(3) * Таблица2[[#This Row],[xi]]) - EXP(-Таблица2[[#This Row],[xi]] * SQRT(3))- 3*EXP(Таблица2[[#This Row],[xi]]))</f>
        <v>31.233869026543736</v>
      </c>
      <c r="F12" s="11"/>
      <c r="G12" s="12">
        <f t="shared" si="0"/>
        <v>3.6379114303350848</v>
      </c>
      <c r="H12" s="12">
        <f t="shared" si="1"/>
        <v>2.7056877543019682</v>
      </c>
      <c r="I12" s="12">
        <f t="shared" si="2"/>
        <v>12.544703388080682</v>
      </c>
      <c r="J12" s="12">
        <f t="shared" si="3"/>
        <v>16.47964492179732</v>
      </c>
      <c r="K12" s="13">
        <f t="shared" si="10"/>
        <v>16.717439646678791</v>
      </c>
      <c r="L12" s="12">
        <f t="shared" si="11"/>
        <v>36.379114303350846</v>
      </c>
      <c r="M12" s="11"/>
      <c r="N12" s="11">
        <v>12.544703388080682</v>
      </c>
      <c r="O12" s="11">
        <f t="shared" si="4"/>
        <v>6.5521434339861564</v>
      </c>
      <c r="P12" s="11">
        <f t="shared" si="5"/>
        <v>6.5646866700505262</v>
      </c>
      <c r="Q12" s="11">
        <f t="shared" si="6"/>
        <v>6.6525956135804876</v>
      </c>
      <c r="R12" s="11">
        <f xml:space="preserve"> 0.1 * 6 * EXP(Таблица2[[#This Row],[xi]])</f>
        <v>1.6309690970754274</v>
      </c>
      <c r="S12" s="11">
        <f xml:space="preserve"> 0.1 * 6 * EXP(Таблица2[[#This Row],[xi]] + 0.05)</f>
        <v>1.7145906708378986</v>
      </c>
      <c r="T12" s="11">
        <f xml:space="preserve"> 0.1 * 6 * EXP(Таблица2[[#This Row],[xi]] + 0.05)</f>
        <v>1.7145906708378986</v>
      </c>
      <c r="U12" s="11">
        <f xml:space="preserve"> 0.1 * 6 * EXP(Таблица2[[#This Row],[xi]] + 0.1)</f>
        <v>1.8024996143678602</v>
      </c>
      <c r="V12" s="13">
        <f t="shared" si="12"/>
        <v>44.262319804421999</v>
      </c>
      <c r="W12" s="11">
        <f t="shared" si="13"/>
        <v>15.309691328623142</v>
      </c>
      <c r="Y12" s="12">
        <f xml:space="preserve"> ABS(Таблица2[[#This Row],[u1iточ]] - Таблица2[[#This Row],[u1i]])</f>
        <v>12.626628843291037</v>
      </c>
      <c r="Z12" s="12">
        <f t="shared" si="7"/>
        <v>14.516429379864945</v>
      </c>
      <c r="AA12" s="12">
        <f xml:space="preserve"> ABS(Таблица8[[#This Row],[u1i]] - Таблица2[[#This Row],[u1iточ]])</f>
        <v>13.028450777878263</v>
      </c>
    </row>
    <row r="13" spans="1:27" ht="15.75" x14ac:dyDescent="0.25">
      <c r="A13" s="12">
        <v>11</v>
      </c>
      <c r="B13" s="12">
        <v>1.1000000000000001</v>
      </c>
      <c r="C13" s="13">
        <f t="shared" si="8"/>
        <v>22.38089439207026</v>
      </c>
      <c r="D13" s="12">
        <f t="shared" si="9"/>
        <v>44.949683240226825</v>
      </c>
      <c r="E13" s="13">
        <f xml:space="preserve"> (7 * EXP(SQRT(3) * Таблица2[[#This Row],[xi]]) - EXP(-Таблица2[[#This Row],[xi]] * SQRT(3))- 3*EXP(Таблица2[[#This Row],[xi]]))</f>
        <v>37.886608221921691</v>
      </c>
      <c r="F13" s="11"/>
      <c r="G13" s="12">
        <f t="shared" si="0"/>
        <v>4.3025315294429909</v>
      </c>
      <c r="H13" s="12">
        <f t="shared" si="1"/>
        <v>3.1721487805435231</v>
      </c>
      <c r="I13" s="12">
        <f t="shared" si="2"/>
        <v>14.710094202696835</v>
      </c>
      <c r="J13" s="12">
        <f t="shared" si="3"/>
        <v>19.312693002779952</v>
      </c>
      <c r="K13" s="13">
        <f t="shared" si="10"/>
        <v>19.88923923899732</v>
      </c>
      <c r="L13" s="12">
        <f t="shared" si="11"/>
        <v>43.025315294429909</v>
      </c>
      <c r="M13" s="11"/>
      <c r="N13" s="11">
        <v>14.710094202696835</v>
      </c>
      <c r="O13" s="11">
        <f t="shared" si="4"/>
        <v>7.2727896562957257</v>
      </c>
      <c r="P13" s="11">
        <f t="shared" si="5"/>
        <v>7.2866520760126265</v>
      </c>
      <c r="Q13" s="11">
        <f t="shared" si="6"/>
        <v>7.3838064838406954</v>
      </c>
      <c r="R13" s="11">
        <f xml:space="preserve"> 0.1 * 6 * EXP(Таблица2[[#This Row],[xi]])</f>
        <v>1.8024996143678602</v>
      </c>
      <c r="S13" s="11">
        <f xml:space="preserve"> 0.1 * 6 * EXP(Таблица2[[#This Row],[xi]] + 0.05)</f>
        <v>1.894915745813861</v>
      </c>
      <c r="T13" s="11">
        <f xml:space="preserve"> 0.1 * 6 * EXP(Таблица2[[#This Row],[xi]] + 0.05)</f>
        <v>1.894915745813861</v>
      </c>
      <c r="U13" s="11">
        <f xml:space="preserve"> 0.1 * 6 * EXP(Таблица2[[#This Row],[xi]] + 0.1)</f>
        <v>1.9920701536419292</v>
      </c>
      <c r="V13" s="13">
        <f t="shared" si="12"/>
        <v>51.834146339377753</v>
      </c>
      <c r="W13" s="11">
        <f t="shared" si="13"/>
        <v>17.024996561088955</v>
      </c>
      <c r="Y13" s="12">
        <f xml:space="preserve"> ABS(Таблица2[[#This Row],[u1iточ]] - Таблица2[[#This Row],[u1i]])</f>
        <v>15.50571382985143</v>
      </c>
      <c r="Z13" s="12">
        <f t="shared" si="7"/>
        <v>17.997368982924371</v>
      </c>
      <c r="AA13" s="12">
        <f xml:space="preserve"> ABS(Таблица8[[#This Row],[u1i]] - Таблица2[[#This Row],[u1iточ]])</f>
        <v>13.947538117456062</v>
      </c>
    </row>
    <row r="14" spans="1:27" ht="15.75" x14ac:dyDescent="0.25">
      <c r="A14" s="12">
        <v>12</v>
      </c>
      <c r="B14" s="12">
        <v>1.2</v>
      </c>
      <c r="C14" s="13">
        <f t="shared" si="8"/>
        <v>26.875862716092943</v>
      </c>
      <c r="D14" s="12">
        <f t="shared" si="9"/>
        <v>53.466451172215763</v>
      </c>
      <c r="E14" s="13">
        <f xml:space="preserve"> (7 * EXP(SQRT(3) * Таблица2[[#This Row],[xi]]) - EXP(-Таблица2[[#This Row],[xi]] * SQRT(3))- 3*EXP(Таблица2[[#This Row],[xi]]))</f>
        <v>45.859641448494237</v>
      </c>
      <c r="F14" s="11"/>
      <c r="G14" s="12">
        <f t="shared" si="0"/>
        <v>5.0794586680496963</v>
      </c>
      <c r="H14" s="12">
        <f t="shared" si="1"/>
        <v>3.7150213162715504</v>
      </c>
      <c r="I14" s="12">
        <f t="shared" si="2"/>
        <v>17.230446157791018</v>
      </c>
      <c r="J14" s="12">
        <f t="shared" si="3"/>
        <v>22.609087852057943</v>
      </c>
      <c r="K14" s="13">
        <f t="shared" si="10"/>
        <v>23.626579393990575</v>
      </c>
      <c r="L14" s="12">
        <f t="shared" si="11"/>
        <v>50.794586680496963</v>
      </c>
      <c r="M14" s="11"/>
      <c r="N14" s="11">
        <v>17.230446157791018</v>
      </c>
      <c r="O14" s="11">
        <f t="shared" si="4"/>
        <v>8.0692269034133428</v>
      </c>
      <c r="P14" s="11">
        <f t="shared" si="5"/>
        <v>8.0845472465386194</v>
      </c>
      <c r="Q14" s="11">
        <f t="shared" si="6"/>
        <v>8.1919194726330602</v>
      </c>
      <c r="R14" s="11">
        <f xml:space="preserve"> 0.1 * 6 * EXP(Таблица2[[#This Row],[xi]])</f>
        <v>1.9920701536419287</v>
      </c>
      <c r="S14" s="11">
        <f xml:space="preserve"> 0.1 * 6 * EXP(Таблица2[[#This Row],[xi]] + 0.05)</f>
        <v>2.0942057744771052</v>
      </c>
      <c r="T14" s="11">
        <f xml:space="preserve"> 0.1 * 6 * EXP(Таблица2[[#This Row],[xi]] + 0.05)</f>
        <v>2.0942057744771052</v>
      </c>
      <c r="U14" s="11">
        <f xml:space="preserve"> 0.1 * 6 * EXP(Таблица2[[#This Row],[xi]] + 0.1)</f>
        <v>2.2015780005715468</v>
      </c>
      <c r="V14" s="13">
        <f t="shared" si="12"/>
        <v>60.369610364570121</v>
      </c>
      <c r="W14" s="11">
        <f t="shared" si="13"/>
        <v>18.920702019633161</v>
      </c>
      <c r="Y14" s="12">
        <f xml:space="preserve"> ABS(Таблица2[[#This Row],[u1iточ]] - Таблица2[[#This Row],[u1i]])</f>
        <v>18.983778732401294</v>
      </c>
      <c r="Z14" s="12">
        <f t="shared" si="7"/>
        <v>22.233062054503662</v>
      </c>
      <c r="AA14" s="12">
        <f xml:space="preserve"> ABS(Таблица8[[#This Row],[u1i]] - Таблица2[[#This Row],[u1iточ]])</f>
        <v>14.509968916075884</v>
      </c>
    </row>
    <row r="15" spans="1:27" ht="15.75" x14ac:dyDescent="0.25">
      <c r="A15" s="12">
        <v>13</v>
      </c>
      <c r="B15" s="12">
        <v>1.3</v>
      </c>
      <c r="C15" s="13">
        <f t="shared" si="8"/>
        <v>32.222507833314523</v>
      </c>
      <c r="D15" s="12">
        <f t="shared" si="9"/>
        <v>63.521280140685576</v>
      </c>
      <c r="E15" s="13">
        <f xml:space="preserve"> (7 * EXP(SQRT(3) * Таблица2[[#This Row],[xi]]) - EXP(-Таблица2[[#This Row],[xi]] * SQRT(3))- 3*EXP(Таблица2[[#This Row],[xi]]))</f>
        <v>55.411778591449348</v>
      </c>
      <c r="F15" s="11"/>
      <c r="G15" s="12">
        <f t="shared" si="0"/>
        <v>5.9874630652336069</v>
      </c>
      <c r="H15" s="12">
        <f t="shared" si="1"/>
        <v>4.346830046175322</v>
      </c>
      <c r="I15" s="12">
        <f t="shared" si="2"/>
        <v>20.163967196272367</v>
      </c>
      <c r="J15" s="12">
        <f t="shared" si="3"/>
        <v>26.444699334689336</v>
      </c>
      <c r="K15" s="13">
        <f t="shared" si="10"/>
        <v>28.023819386151196</v>
      </c>
      <c r="L15" s="12">
        <f t="shared" si="11"/>
        <v>59.874630652336066</v>
      </c>
      <c r="M15" s="11"/>
      <c r="N15" s="11">
        <v>20.163967196272367</v>
      </c>
      <c r="O15" s="11">
        <f t="shared" si="4"/>
        <v>8.9494261869999594</v>
      </c>
      <c r="P15" s="11">
        <f t="shared" si="5"/>
        <v>8.9663577846769567</v>
      </c>
      <c r="Q15" s="11">
        <f t="shared" si="6"/>
        <v>9.085022446365576</v>
      </c>
      <c r="R15" s="11">
        <f xml:space="preserve"> 0.1 * 6 * EXP(Таблица2[[#This Row],[xi]])</f>
        <v>2.2015780005715468</v>
      </c>
      <c r="S15" s="11">
        <f xml:space="preserve"> 0.1 * 6 * EXP(Таблица2[[#This Row],[xi]] + 0.05)</f>
        <v>2.3144553184181849</v>
      </c>
      <c r="T15" s="11">
        <f xml:space="preserve"> 0.1 * 6 * EXP(Таблица2[[#This Row],[xi]] + 0.05)</f>
        <v>2.3144553184181849</v>
      </c>
      <c r="U15" s="11">
        <f xml:space="preserve"> 0.1 * 6 * EXP(Таблица2[[#This Row],[xi]] + 0.1)</f>
        <v>2.4331199801068055</v>
      </c>
      <c r="V15" s="13">
        <f t="shared" si="12"/>
        <v>69.991262686291449</v>
      </c>
      <c r="W15" s="11">
        <f t="shared" si="13"/>
        <v>21.015780561653479</v>
      </c>
      <c r="Y15" s="12">
        <f xml:space="preserve"> ABS(Таблица2[[#This Row],[u1iточ]] - Таблица2[[#This Row],[u1i]])</f>
        <v>23.189270758134825</v>
      </c>
      <c r="Z15" s="12">
        <f t="shared" si="7"/>
        <v>27.387959205298152</v>
      </c>
      <c r="AA15" s="12">
        <f xml:space="preserve"> ABS(Таблица8[[#This Row],[u1i]] - Таблица2[[#This Row],[u1iточ]])</f>
        <v>14.579484094842101</v>
      </c>
    </row>
    <row r="16" spans="1:27" ht="15.75" x14ac:dyDescent="0.25">
      <c r="A16" s="12">
        <v>14</v>
      </c>
      <c r="B16" s="12">
        <v>1.4</v>
      </c>
      <c r="C16" s="13">
        <f t="shared" si="8"/>
        <v>38.574635847383078</v>
      </c>
      <c r="D16" s="12">
        <f t="shared" si="9"/>
        <v>75.389610491251489</v>
      </c>
      <c r="E16" s="13">
        <f xml:space="preserve"> (7 * EXP(SQRT(3) * Таблица2[[#This Row],[xi]]) - EXP(-Таблица2[[#This Row],[xi]] * SQRT(3))- 3*EXP(Таблица2[[#This Row],[xi]]))</f>
        <v>66.851321588494713</v>
      </c>
      <c r="F16" s="11"/>
      <c r="G16" s="12">
        <f t="shared" si="0"/>
        <v>7.0483354468752983</v>
      </c>
      <c r="H16" s="12">
        <f t="shared" si="1"/>
        <v>5.0820918320623321</v>
      </c>
      <c r="I16" s="12">
        <f t="shared" si="2"/>
        <v>23.5781263207327</v>
      </c>
      <c r="J16" s="12">
        <f t="shared" si="3"/>
        <v>30.907457679048537</v>
      </c>
      <c r="K16" s="13">
        <f t="shared" si="10"/>
        <v>33.190965941855659</v>
      </c>
      <c r="L16" s="12">
        <f t="shared" si="11"/>
        <v>70.483354468752978</v>
      </c>
      <c r="M16" s="11"/>
      <c r="N16" s="11">
        <v>23.5781263207327</v>
      </c>
      <c r="O16" s="11">
        <f t="shared" si="4"/>
        <v>9.92219683733091</v>
      </c>
      <c r="P16" s="11">
        <f t="shared" si="5"/>
        <v>9.9409091466800827</v>
      </c>
      <c r="Q16" s="11">
        <f t="shared" si="6"/>
        <v>10.072053879781633</v>
      </c>
      <c r="R16" s="11">
        <f xml:space="preserve"> 0.1 * 6 * EXP(Таблица2[[#This Row],[xi]])</f>
        <v>2.4331199801068051</v>
      </c>
      <c r="S16" s="11">
        <f xml:space="preserve"> 0.1 * 6 * EXP(Таблица2[[#This Row],[xi]] + 0.05)</f>
        <v>2.5578687091012906</v>
      </c>
      <c r="T16" s="11">
        <f xml:space="preserve"> 0.1 * 6 * EXP(Таблица2[[#This Row],[xi]] + 0.05)</f>
        <v>2.5578687091012906</v>
      </c>
      <c r="U16" s="11">
        <f xml:space="preserve"> 0.1 * 6 * EXP(Таблица2[[#This Row],[xi]] + 0.1)</f>
        <v>2.6890134422028389</v>
      </c>
      <c r="V16" s="13">
        <f t="shared" si="12"/>
        <v>80.838022283956747</v>
      </c>
      <c r="W16" s="11">
        <f t="shared" si="13"/>
        <v>23.331200437378662</v>
      </c>
      <c r="Y16" s="12">
        <f xml:space="preserve"> ABS(Таблица2[[#This Row],[u1iточ]] - Таблица2[[#This Row],[u1i]])</f>
        <v>28.276685741111635</v>
      </c>
      <c r="Z16" s="12">
        <f t="shared" si="7"/>
        <v>33.660355646639054</v>
      </c>
      <c r="AA16" s="12">
        <f xml:space="preserve"> ABS(Таблица8[[#This Row],[u1i]] - Таблица2[[#This Row],[u1iточ]])</f>
        <v>13.986700695462034</v>
      </c>
    </row>
    <row r="17" spans="1:27" ht="15.75" x14ac:dyDescent="0.25">
      <c r="A17" s="12">
        <v>15</v>
      </c>
      <c r="B17" s="12">
        <v>1.5</v>
      </c>
      <c r="C17" s="13">
        <f t="shared" si="8"/>
        <v>46.113596896508227</v>
      </c>
      <c r="D17" s="12">
        <f t="shared" si="9"/>
        <v>89.39512122557322</v>
      </c>
      <c r="E17" s="13">
        <f xml:space="preserve"> (7 * EXP(SQRT(3) * Таблица2[[#This Row],[xi]]) - EXP(-Таблица2[[#This Row],[xi]] * SQRT(3))- 3*EXP(Таблица2[[#This Row],[xi]]))</f>
        <v>80.545547015963749</v>
      </c>
      <c r="F17" s="11"/>
      <c r="G17" s="12">
        <f t="shared" si="0"/>
        <v>8.2873764231416498</v>
      </c>
      <c r="H17" s="12">
        <f t="shared" si="1"/>
        <v>5.9376359836216857</v>
      </c>
      <c r="I17" s="12">
        <f t="shared" si="2"/>
        <v>27.551142711627786</v>
      </c>
      <c r="J17" s="12">
        <f t="shared" si="3"/>
        <v>36.09929153755035</v>
      </c>
      <c r="K17" s="13">
        <f t="shared" si="10"/>
        <v>39.256179581324474</v>
      </c>
      <c r="L17" s="12">
        <f t="shared" si="11"/>
        <v>82.873764231416487</v>
      </c>
      <c r="M17" s="11"/>
      <c r="N17" s="11">
        <v>27.551142711627786</v>
      </c>
      <c r="O17" s="11">
        <f t="shared" si="4"/>
        <v>10.99727467003421</v>
      </c>
      <c r="P17" s="11">
        <f t="shared" si="5"/>
        <v>11.017954970136952</v>
      </c>
      <c r="Q17" s="11">
        <f t="shared" si="6"/>
        <v>11.162892315219574</v>
      </c>
      <c r="R17" s="11">
        <f xml:space="preserve"> 0.1 * 6 * EXP(Таблица2[[#This Row],[xi]])</f>
        <v>2.6890134422028389</v>
      </c>
      <c r="S17" s="11">
        <f xml:space="preserve"> 0.1 * 6 * EXP(Таблица2[[#This Row],[xi]] + 0.05)</f>
        <v>2.8268821095544454</v>
      </c>
      <c r="T17" s="11">
        <f xml:space="preserve"> 0.1 * 6 * EXP(Таблица2[[#This Row],[xi]] + 0.05)</f>
        <v>2.8268821095544454</v>
      </c>
      <c r="U17" s="11">
        <f xml:space="preserve"> 0.1 * 6 * EXP(Таблица2[[#This Row],[xi]] + 0.1)</f>
        <v>2.9718194546370693</v>
      </c>
      <c r="V17" s="13">
        <f t="shared" si="12"/>
        <v>93.067420978712804</v>
      </c>
      <c r="W17" s="11">
        <f t="shared" si="13"/>
        <v>25.890135147164465</v>
      </c>
      <c r="Y17" s="12">
        <f xml:space="preserve"> ABS(Таблица2[[#This Row],[u1iточ]] - Таблица2[[#This Row],[u1i]])</f>
        <v>34.431950119455522</v>
      </c>
      <c r="Z17" s="12">
        <f t="shared" si="7"/>
        <v>41.289367434639274</v>
      </c>
      <c r="AA17" s="12">
        <f xml:space="preserve"> ABS(Таблица8[[#This Row],[u1i]] - Таблица2[[#This Row],[u1iточ]])</f>
        <v>12.521873962749055</v>
      </c>
    </row>
    <row r="18" spans="1:27" ht="15.75" x14ac:dyDescent="0.25">
      <c r="A18" s="12">
        <v>16</v>
      </c>
      <c r="B18" s="12">
        <v>1.6</v>
      </c>
      <c r="C18" s="13">
        <f t="shared" si="8"/>
        <v>55.053109019065552</v>
      </c>
      <c r="D18" s="12">
        <f t="shared" si="9"/>
        <v>105.91821373672853</v>
      </c>
      <c r="E18" s="13">
        <f xml:space="preserve"> (7 * EXP(SQRT(3) * Таблица2[[#This Row],[xi]]) - EXP(-Таблица2[[#This Row],[xi]] * SQRT(3))- 3*EXP(Таблица2[[#This Row],[xi]]))</f>
        <v>96.931984467691862</v>
      </c>
      <c r="F18" s="11"/>
      <c r="G18" s="12">
        <f t="shared" si="0"/>
        <v>9.7339631548016676</v>
      </c>
      <c r="H18" s="12">
        <f t="shared" si="1"/>
        <v>6.9329748666140079</v>
      </c>
      <c r="I18" s="12">
        <f t="shared" si="2"/>
        <v>32.17370891904207</v>
      </c>
      <c r="J18" s="12">
        <f t="shared" si="3"/>
        <v>42.138370575153949</v>
      </c>
      <c r="K18" s="13">
        <f t="shared" si="10"/>
        <v>46.368685784706145</v>
      </c>
      <c r="L18" s="12">
        <f t="shared" si="11"/>
        <v>97.339631548016669</v>
      </c>
      <c r="M18" s="11"/>
      <c r="N18" s="11">
        <v>32.17370891904207</v>
      </c>
      <c r="O18" s="11">
        <f t="shared" si="4"/>
        <v>12.185419425405696</v>
      </c>
      <c r="P18" s="11">
        <f t="shared" si="5"/>
        <v>12.208274691656321</v>
      </c>
      <c r="Q18" s="11">
        <f t="shared" si="6"/>
        <v>12.368455230384731</v>
      </c>
      <c r="R18" s="11">
        <f xml:space="preserve"> 0.1 * 6 * EXP(Таблица2[[#This Row],[xi]])</f>
        <v>2.9718194546370693</v>
      </c>
      <c r="S18" s="11">
        <f xml:space="preserve"> 0.1 * 6 * EXP(Таблица2[[#This Row],[xi]] + 0.05)</f>
        <v>3.1241878963079102</v>
      </c>
      <c r="T18" s="11">
        <f xml:space="preserve"> 0.1 * 6 * EXP(Таблица2[[#This Row],[xi]] + 0.05)</f>
        <v>3.1241878963079102</v>
      </c>
      <c r="U18" s="11">
        <f xml:space="preserve"> 0.1 * 6 * EXP(Таблица2[[#This Row],[xi]] + 0.1)</f>
        <v>3.2843684350363209</v>
      </c>
      <c r="V18" s="13">
        <f t="shared" si="12"/>
        <v>106.85817002991108</v>
      </c>
      <c r="W18" s="11">
        <f t="shared" si="13"/>
        <v>28.718195369674078</v>
      </c>
      <c r="Y18" s="12">
        <f xml:space="preserve"> ABS(Таблица2[[#This Row],[u1iточ]] - Таблица2[[#This Row],[u1i]])</f>
        <v>41.87887544862631</v>
      </c>
      <c r="Z18" s="12">
        <f t="shared" si="7"/>
        <v>50.563298682985717</v>
      </c>
      <c r="AA18" s="12">
        <f xml:space="preserve"> ABS(Таблица8[[#This Row],[u1i]] - Таблица2[[#This Row],[u1iточ]])</f>
        <v>9.9261855622192172</v>
      </c>
    </row>
    <row r="19" spans="1:27" ht="15.75" x14ac:dyDescent="0.25">
      <c r="A19" s="12">
        <v>17</v>
      </c>
      <c r="B19" s="12">
        <v>1.7</v>
      </c>
      <c r="C19" s="13">
        <f t="shared" si="8"/>
        <v>65.644930392738402</v>
      </c>
      <c r="D19" s="12">
        <f t="shared" si="9"/>
        <v>125.40596589708527</v>
      </c>
      <c r="E19" s="13">
        <f xml:space="preserve"> (7 * EXP(SQRT(3) * Таблица2[[#This Row],[xi]]) - EXP(-Таблица2[[#This Row],[xi]] * SQRT(3))- 3*EXP(Таблица2[[#This Row],[xi]]))</f>
        <v>116.53183225177598</v>
      </c>
      <c r="F19" s="11"/>
      <c r="G19" s="12">
        <f t="shared" si="0"/>
        <v>11.422205673806559</v>
      </c>
      <c r="H19" s="12">
        <f t="shared" si="1"/>
        <v>8.0907328753186114</v>
      </c>
      <c r="I19" s="12">
        <f t="shared" si="2"/>
        <v>37.550985456455997</v>
      </c>
      <c r="J19" s="12">
        <f t="shared" si="3"/>
        <v>49.161701137004243</v>
      </c>
      <c r="K19" s="13">
        <f t="shared" si="10"/>
        <v>54.702154795413982</v>
      </c>
      <c r="L19" s="12">
        <f t="shared" si="11"/>
        <v>114.22205673806559</v>
      </c>
      <c r="M19" s="11"/>
      <c r="N19" s="11">
        <v>37.550985456455997</v>
      </c>
      <c r="O19" s="11">
        <f t="shared" si="4"/>
        <v>13.498522455506361</v>
      </c>
      <c r="P19" s="11">
        <f t="shared" si="5"/>
        <v>13.523781431091431</v>
      </c>
      <c r="Q19" s="11">
        <f t="shared" si="6"/>
        <v>13.70080830413576</v>
      </c>
      <c r="R19" s="11">
        <f xml:space="preserve"> 0.1 * 6 * EXP(Таблица2[[#This Row],[xi]])</f>
        <v>3.2843684350363205</v>
      </c>
      <c r="S19" s="11">
        <f xml:space="preserve"> 0.1 * 6 * EXP(Таблица2[[#This Row],[xi]] + 0.05)</f>
        <v>3.4527616056034391</v>
      </c>
      <c r="T19" s="11">
        <f xml:space="preserve"> 0.1 * 6 * EXP(Таблица2[[#This Row],[xi]] + 0.05)</f>
        <v>3.4527616056034391</v>
      </c>
      <c r="U19" s="11">
        <f xml:space="preserve"> 0.1 * 6 * EXP(Таблица2[[#This Row],[xi]] + 0.1)</f>
        <v>3.6297884786477685</v>
      </c>
      <c r="V19" s="13">
        <f t="shared" si="12"/>
        <v>122.41309542716955</v>
      </c>
      <c r="W19" s="11">
        <f t="shared" si="13"/>
        <v>31.843685282158248</v>
      </c>
      <c r="Y19" s="12">
        <f xml:space="preserve"> ABS(Таблица2[[#This Row],[u1iточ]] - Таблица2[[#This Row],[u1i]])</f>
        <v>50.886901859037579</v>
      </c>
      <c r="Z19" s="12">
        <f t="shared" si="7"/>
        <v>61.829677456361999</v>
      </c>
      <c r="AA19" s="12">
        <f xml:space="preserve"> ABS(Таблица8[[#This Row],[u1i]] - Таблица2[[#This Row],[u1iточ]])</f>
        <v>5.8812631753935705</v>
      </c>
    </row>
    <row r="20" spans="1:27" ht="15.75" x14ac:dyDescent="0.25">
      <c r="A20" s="12">
        <v>18</v>
      </c>
      <c r="B20" s="12">
        <v>1.8</v>
      </c>
      <c r="C20" s="13">
        <f t="shared" si="8"/>
        <v>78.18552698244693</v>
      </c>
      <c r="D20" s="12">
        <f t="shared" si="9"/>
        <v>148.38381344994312</v>
      </c>
      <c r="E20" s="13">
        <f xml:space="preserve"> (7 * EXP(SQRT(3) * Таблица2[[#This Row],[xi]]) - EXP(-Таблица2[[#This Row],[xi]] * SQRT(3))- 3*EXP(Таблица2[[#This Row],[xi]]))</f>
        <v>139.96591645505913</v>
      </c>
      <c r="F20" s="11"/>
      <c r="G20" s="12">
        <f t="shared" si="0"/>
        <v>13.391707161172612</v>
      </c>
      <c r="H20" s="12">
        <f t="shared" si="1"/>
        <v>9.437143051201593</v>
      </c>
      <c r="I20" s="12">
        <f t="shared" si="2"/>
        <v>43.804909962165596</v>
      </c>
      <c r="J20" s="12">
        <f t="shared" si="3"/>
        <v>57.328131137535074</v>
      </c>
      <c r="K20" s="13">
        <f t="shared" si="10"/>
        <v>64.458624069976565</v>
      </c>
      <c r="L20" s="12">
        <f t="shared" si="11"/>
        <v>133.9170716117261</v>
      </c>
      <c r="M20" s="11"/>
      <c r="N20" s="11">
        <v>43.804909962165596</v>
      </c>
      <c r="O20" s="11">
        <f t="shared" si="4"/>
        <v>14.949725736810633</v>
      </c>
      <c r="P20" s="11">
        <f t="shared" si="5"/>
        <v>14.977641222047632</v>
      </c>
      <c r="Q20" s="11">
        <f t="shared" si="6"/>
        <v>15.173286173854095</v>
      </c>
      <c r="R20" s="11">
        <f xml:space="preserve"> 0.1 * 6 * EXP(Таблица2[[#This Row],[xi]])</f>
        <v>3.6297884786477685</v>
      </c>
      <c r="S20" s="11">
        <f xml:space="preserve"> 0.1 * 6 * EXP(Таблица2[[#This Row],[xi]] + 0.05)</f>
        <v>3.8158917135610997</v>
      </c>
      <c r="T20" s="11">
        <f xml:space="preserve"> 0.1 * 6 * EXP(Таблица2[[#This Row],[xi]] + 0.05)</f>
        <v>3.8158917135610997</v>
      </c>
      <c r="U20" s="11">
        <f xml:space="preserve"> 0.1 * 6 * EXP(Таблица2[[#This Row],[xi]] + 0.1)</f>
        <v>4.0115366653675624</v>
      </c>
      <c r="V20" s="13">
        <f t="shared" si="12"/>
        <v>139.96249568280078</v>
      </c>
      <c r="W20" s="11">
        <f t="shared" si="13"/>
        <v>35.297885838174558</v>
      </c>
      <c r="Y20" s="12">
        <f xml:space="preserve"> ABS(Таблица2[[#This Row],[u1iточ]] - Таблица2[[#This Row],[u1i]])</f>
        <v>61.7803894726122</v>
      </c>
      <c r="Z20" s="12">
        <f t="shared" si="7"/>
        <v>75.507292385082565</v>
      </c>
      <c r="AA20" s="12">
        <f xml:space="preserve"> ABS(Таблица8[[#This Row],[u1i]] - Таблица2[[#This Row],[u1iточ]])</f>
        <v>3.4207722583516897E-3</v>
      </c>
    </row>
    <row r="21" spans="1:27" ht="15.75" x14ac:dyDescent="0.25">
      <c r="A21" s="12">
        <v>19</v>
      </c>
      <c r="B21" s="12">
        <v>1.9</v>
      </c>
      <c r="C21" s="13">
        <f t="shared" si="8"/>
        <v>93.023908327441248</v>
      </c>
      <c r="D21" s="12">
        <f t="shared" si="9"/>
        <v>175.46926002332498</v>
      </c>
      <c r="E21" s="13">
        <f xml:space="preserve"> (7 * EXP(SQRT(3) * Таблица2[[#This Row],[xi]]) - EXP(-Таблица2[[#This Row],[xi]] * SQRT(3))- 3*EXP(Таблица2[[#This Row],[xi]]))</f>
        <v>167.97367618763244</v>
      </c>
      <c r="F21" s="11"/>
      <c r="G21" s="12">
        <f t="shared" si="0"/>
        <v>15.688444731136684</v>
      </c>
      <c r="H21" s="12">
        <f t="shared" si="1"/>
        <v>11.00262208433673</v>
      </c>
      <c r="I21" s="12">
        <f t="shared" si="2"/>
        <v>51.076870858777617</v>
      </c>
      <c r="J21" s="12">
        <f t="shared" si="3"/>
        <v>66.821829110401723</v>
      </c>
      <c r="K21" s="13">
        <f t="shared" si="10"/>
        <v>75.873049176163676</v>
      </c>
      <c r="L21" s="12">
        <f t="shared" si="11"/>
        <v>156.88444731136684</v>
      </c>
      <c r="M21" s="11"/>
      <c r="N21" s="11">
        <v>51.076870858777617</v>
      </c>
      <c r="O21" s="11">
        <f t="shared" si="4"/>
        <v>16.553553399524063</v>
      </c>
      <c r="P21" s="11">
        <f t="shared" si="5"/>
        <v>16.584404781971966</v>
      </c>
      <c r="Q21" s="11">
        <f t="shared" si="6"/>
        <v>16.800625892976779</v>
      </c>
      <c r="R21" s="11">
        <f xml:space="preserve"> 0.1 * 6 * EXP(Таблица2[[#This Row],[xi]])</f>
        <v>4.0115366653675615</v>
      </c>
      <c r="S21" s="11">
        <f xml:space="preserve"> 0.1 * 6 * EXP(Таблица2[[#This Row],[xi]] + 0.05)</f>
        <v>4.2172125483535767</v>
      </c>
      <c r="T21" s="11">
        <f xml:space="preserve"> 0.1 * 6 * EXP(Таблица2[[#This Row],[xi]] + 0.05)</f>
        <v>4.2172125483535767</v>
      </c>
      <c r="U21" s="11">
        <f xml:space="preserve"> 0.1 * 6 * EXP(Таблица2[[#This Row],[xi]] + 0.1)</f>
        <v>4.433433659358391</v>
      </c>
      <c r="V21" s="13">
        <f t="shared" si="12"/>
        <v>159.76798402509016</v>
      </c>
      <c r="W21" s="11">
        <f t="shared" si="13"/>
        <v>39.115367837884513</v>
      </c>
      <c r="Y21" s="12">
        <f xml:space="preserve"> ABS(Таблица2[[#This Row],[u1iточ]] - Таблица2[[#This Row],[u1i]])</f>
        <v>74.949767860191187</v>
      </c>
      <c r="Z21" s="12">
        <f t="shared" si="7"/>
        <v>92.10062701146876</v>
      </c>
      <c r="AA21" s="12">
        <f xml:space="preserve"> ABS(Таблица8[[#This Row],[u1i]] - Таблица2[[#This Row],[u1iточ]])</f>
        <v>8.2056921625422774</v>
      </c>
    </row>
    <row r="22" spans="1:27" ht="15.75" x14ac:dyDescent="0.25">
      <c r="A22" s="12">
        <v>20</v>
      </c>
      <c r="B22" s="12">
        <v>2</v>
      </c>
      <c r="C22" s="13">
        <f t="shared" si="8"/>
        <v>110.57083432977375</v>
      </c>
      <c r="D22" s="12">
        <f t="shared" si="9"/>
        <v>207.38796918692492</v>
      </c>
      <c r="E22" s="13">
        <f xml:space="preserve"> (7 * EXP(SQRT(3) * Таблица2[[#This Row],[xi]]) - EXP(-Таблица2[[#This Row],[xi]] * SQRT(3))- 3*EXP(Таблица2[[#This Row],[xi]]))</f>
        <v>201.43574913115759</v>
      </c>
      <c r="F22" s="11"/>
      <c r="G22" s="12">
        <f t="shared" si="0"/>
        <v>18.365789872958352</v>
      </c>
      <c r="H22" s="12">
        <f t="shared" si="1"/>
        <v>12.822436119229302</v>
      </c>
      <c r="I22" s="12">
        <f t="shared" si="2"/>
        <v>59.530803278233442</v>
      </c>
      <c r="J22" s="12">
        <f t="shared" si="3"/>
        <v>77.856312549885672</v>
      </c>
      <c r="K22" s="13">
        <f t="shared" si="10"/>
        <v>89.218582583900385</v>
      </c>
      <c r="L22" s="12">
        <f t="shared" si="11"/>
        <v>183.65789872958351</v>
      </c>
      <c r="M22" s="11"/>
      <c r="N22" s="11">
        <v>59.530803278233442</v>
      </c>
      <c r="O22" s="11">
        <f xml:space="preserve"> 0.1 *  (6 * EXP(B22 + 0.05) - (-3 * (W22 + R22 / 2)))</f>
        <v>18.326057089960187</v>
      </c>
      <c r="P22" s="11">
        <f t="shared" si="5"/>
        <v>18.360153140624043</v>
      </c>
      <c r="Q22" s="11">
        <f t="shared" si="6"/>
        <v>18.59911442438057</v>
      </c>
      <c r="R22" s="11">
        <f xml:space="preserve"> 0.1 * 6 * EXP(Таблица2[[#This Row],[xi]])</f>
        <v>4.433433659358391</v>
      </c>
      <c r="S22" s="11">
        <f xml:space="preserve"> 0.1 * 6 * EXP(Таблица2[[#This Row],[xi]] + 0.05)</f>
        <v>4.6607406637840629</v>
      </c>
      <c r="T22" s="11">
        <f xml:space="preserve"> 0.1 * 6 * EXP(Таблица2[[#This Row],[xi]] + 0.05)</f>
        <v>4.6607406637840629</v>
      </c>
      <c r="U22" s="11">
        <f xml:space="preserve"> 0.1 * 6 * EXP(Таблица2[[#This Row],[xi]] + 0.1)</f>
        <v>4.8997019475405921</v>
      </c>
      <c r="V22" s="13">
        <f t="shared" si="12"/>
        <v>182.12688621088122</v>
      </c>
      <c r="W22" s="11">
        <f t="shared" si="13"/>
        <v>43.334337924241225</v>
      </c>
      <c r="Y22" s="12">
        <f xml:space="preserve"> ABS(Таблица2[[#This Row],[u1iточ]] - Таблица2[[#This Row],[u1i]])</f>
        <v>90.864914801383847</v>
      </c>
      <c r="Z22" s="12">
        <f t="shared" si="7"/>
        <v>112.21716654725721</v>
      </c>
      <c r="AA22" s="12">
        <f xml:space="preserve"> ABS(Таблица8[[#This Row],[u1i]] - Таблица2[[#This Row],[u1iточ]])</f>
        <v>19.308862920276368</v>
      </c>
    </row>
    <row r="23" spans="1:27" ht="15.75" x14ac:dyDescent="0.25">
      <c r="A23" s="12"/>
      <c r="B23" s="12"/>
      <c r="C23" s="12"/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Y23" s="11">
        <f xml:space="preserve"> SUM(Y2:Y22)</f>
        <v>494.94439252744826</v>
      </c>
      <c r="Z23" s="11">
        <f xml:space="preserve"> SUM(Z2:Z22)</f>
        <v>595.3968791311263</v>
      </c>
      <c r="AA23" s="11">
        <f xml:space="preserve"> SUM(AA2:AA22)</f>
        <v>182.7797296774007</v>
      </c>
    </row>
    <row r="24" spans="1:27" ht="15.75" x14ac:dyDescent="0.25">
      <c r="A24" s="15" t="s">
        <v>7</v>
      </c>
      <c r="B24" s="16">
        <v>3</v>
      </c>
      <c r="C24" s="12"/>
      <c r="D24" s="12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7" ht="15.75" x14ac:dyDescent="0.25">
      <c r="A25" s="15" t="s">
        <v>8</v>
      </c>
      <c r="B25" s="16">
        <v>5</v>
      </c>
      <c r="C25" s="12"/>
      <c r="D25" s="12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7" ht="15.75" x14ac:dyDescent="0.25">
      <c r="A26" s="15" t="s">
        <v>11</v>
      </c>
      <c r="B26" s="16">
        <v>0</v>
      </c>
      <c r="C26" s="12"/>
      <c r="D26" s="12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7" ht="15.75" x14ac:dyDescent="0.25">
      <c r="A27" s="15" t="s">
        <v>13</v>
      </c>
      <c r="B27" s="16">
        <v>-3</v>
      </c>
      <c r="C27" s="12"/>
      <c r="D27" s="12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7" ht="15.75" x14ac:dyDescent="0.25">
      <c r="A28" s="15" t="s">
        <v>12</v>
      </c>
      <c r="B28" s="16" t="s">
        <v>14</v>
      </c>
      <c r="C28" s="12"/>
      <c r="D28" s="12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2022-03-22T04:35:24Z</dcterms:modified>
</cp:coreProperties>
</file>