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os\Desktop\учеба\Диплом\"/>
    </mc:Choice>
  </mc:AlternateContent>
  <xr:revisionPtr revIDLastSave="0" documentId="13_ncr:1_{E9CC0EB6-DBEC-4519-990F-CD60CF43D57F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1задача(Децентрал)" sheetId="3" r:id="rId1"/>
    <sheet name="2задача(Децентрал)" sheetId="5" r:id="rId2"/>
    <sheet name="_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5" l="1"/>
  <c r="N6" i="5"/>
  <c r="N5" i="5"/>
  <c r="N4" i="5"/>
  <c r="N3" i="5"/>
  <c r="N2" i="5"/>
  <c r="J19" i="5"/>
  <c r="J21" i="5"/>
  <c r="J20" i="5"/>
  <c r="L6" i="5" s="1"/>
  <c r="L7" i="5"/>
  <c r="L5" i="5"/>
  <c r="L3" i="5"/>
  <c r="L4" i="5"/>
  <c r="J6" i="5"/>
  <c r="J5" i="5"/>
  <c r="J4" i="5"/>
  <c r="AD20" i="5"/>
  <c r="L2" i="5"/>
  <c r="J2" i="5"/>
  <c r="R46" i="5"/>
  <c r="J3" i="5"/>
  <c r="AB7" i="3"/>
  <c r="AD7" i="3"/>
  <c r="AC2" i="5"/>
  <c r="AD21" i="3"/>
  <c r="AF25" i="3"/>
  <c r="AF24" i="3"/>
  <c r="AD25" i="3"/>
  <c r="AD24" i="3"/>
  <c r="U9" i="3"/>
  <c r="U8" i="3"/>
  <c r="T9" i="3"/>
  <c r="T8" i="3"/>
  <c r="R9" i="3"/>
  <c r="R8" i="3"/>
  <c r="R7" i="3"/>
  <c r="R6" i="3"/>
  <c r="R5" i="3"/>
  <c r="T5" i="3"/>
  <c r="T6" i="3"/>
  <c r="T7" i="3"/>
  <c r="U5" i="3"/>
  <c r="U6" i="3"/>
  <c r="U7" i="3"/>
  <c r="U4" i="3"/>
  <c r="T4" i="3"/>
  <c r="R4" i="3"/>
  <c r="V11" i="3"/>
  <c r="Q4" i="3"/>
  <c r="R36" i="5" l="1"/>
  <c r="Q36" i="5"/>
  <c r="V28" i="5"/>
  <c r="X32" i="5" s="1"/>
  <c r="U28" i="5"/>
  <c r="W32" i="5" s="1"/>
  <c r="V27" i="5"/>
  <c r="X31" i="5" s="1"/>
  <c r="U27" i="5"/>
  <c r="W31" i="5" s="1"/>
  <c r="P27" i="5" a="1"/>
  <c r="Q28" i="5" s="1"/>
  <c r="P27" i="5"/>
  <c r="Z24" i="5"/>
  <c r="AB23" i="5" a="1"/>
  <c r="AB23" i="5" s="1"/>
  <c r="X18" i="5"/>
  <c r="W18" i="5"/>
  <c r="Y24" i="5" s="1"/>
  <c r="Q18" i="5"/>
  <c r="X17" i="5"/>
  <c r="Z23" i="5" s="1"/>
  <c r="W17" i="5"/>
  <c r="Y23" i="5" s="1"/>
  <c r="S17" i="5"/>
  <c r="X16" i="5"/>
  <c r="Z22" i="5" s="1"/>
  <c r="W16" i="5"/>
  <c r="Y22" i="5" s="1"/>
  <c r="X15" i="5"/>
  <c r="Z21" i="5" s="1"/>
  <c r="W15" i="5"/>
  <c r="Y21" i="5" s="1"/>
  <c r="P15" i="5" a="1"/>
  <c r="P18" i="5" s="1"/>
  <c r="P15" i="5"/>
  <c r="V13" i="5"/>
  <c r="U13" i="5"/>
  <c r="S13" i="5"/>
  <c r="R13" i="5"/>
  <c r="AI12" i="5"/>
  <c r="V12" i="5"/>
  <c r="U12" i="5"/>
  <c r="S12" i="5"/>
  <c r="R12" i="5"/>
  <c r="V11" i="5"/>
  <c r="U11" i="5"/>
  <c r="S11" i="5"/>
  <c r="R11" i="5"/>
  <c r="V10" i="5"/>
  <c r="U10" i="5"/>
  <c r="S10" i="5"/>
  <c r="R10" i="5"/>
  <c r="V9" i="5"/>
  <c r="U9" i="5"/>
  <c r="S9" i="5"/>
  <c r="R9" i="5"/>
  <c r="AG8" i="5"/>
  <c r="V8" i="5"/>
  <c r="U8" i="5"/>
  <c r="S8" i="5"/>
  <c r="R8" i="5"/>
  <c r="AB7" i="5" a="1"/>
  <c r="AC8" i="5" s="1"/>
  <c r="V7" i="5"/>
  <c r="U7" i="5"/>
  <c r="S7" i="5"/>
  <c r="R7" i="5"/>
  <c r="V6" i="5"/>
  <c r="U6" i="5"/>
  <c r="AC5" i="5"/>
  <c r="R6" i="5" s="1"/>
  <c r="V5" i="5"/>
  <c r="U5" i="5"/>
  <c r="U4" i="5"/>
  <c r="T4" i="5"/>
  <c r="AD2" i="5"/>
  <c r="AH7" i="5" s="1"/>
  <c r="AJ11" i="5" s="1"/>
  <c r="AB7" i="5" l="1"/>
  <c r="AF11" i="5" s="1" a="1"/>
  <c r="AH8" i="5"/>
  <c r="AJ12" i="5" s="1"/>
  <c r="Q15" i="5"/>
  <c r="S18" i="5"/>
  <c r="Q27" i="5"/>
  <c r="T31" i="5" s="1" a="1"/>
  <c r="P16" i="5"/>
  <c r="AC7" i="5"/>
  <c r="S15" i="5"/>
  <c r="Q16" i="5"/>
  <c r="AB24" i="5"/>
  <c r="P28" i="5"/>
  <c r="R15" i="5"/>
  <c r="R16" i="5"/>
  <c r="T21" i="5" s="1" a="1"/>
  <c r="P17" i="5"/>
  <c r="AC24" i="5"/>
  <c r="R5" i="5"/>
  <c r="AG7" i="5"/>
  <c r="AI11" i="5" s="1"/>
  <c r="AB8" i="5"/>
  <c r="S16" i="5"/>
  <c r="Q17" i="5"/>
  <c r="R18" i="5"/>
  <c r="AC23" i="5"/>
  <c r="AE27" i="5" s="1" a="1"/>
  <c r="R17" i="5"/>
  <c r="L2" i="4"/>
  <c r="AD20" i="4"/>
  <c r="AC20" i="4"/>
  <c r="J3" i="4"/>
  <c r="AE20" i="4"/>
  <c r="J2" i="4"/>
  <c r="J16" i="4" s="1"/>
  <c r="AC27" i="4" a="1"/>
  <c r="AC27" i="4" s="1"/>
  <c r="AE27" i="4" a="1"/>
  <c r="AF27" i="4" s="1"/>
  <c r="AH28" i="4"/>
  <c r="AH27" i="4"/>
  <c r="AG24" i="4"/>
  <c r="AG23" i="4"/>
  <c r="AE23" i="4"/>
  <c r="AB23" i="4" a="1"/>
  <c r="AB24" i="4" s="1"/>
  <c r="R46" i="4"/>
  <c r="R41" i="4"/>
  <c r="AD15" i="4" s="1"/>
  <c r="Q41" i="4"/>
  <c r="AD16" i="4"/>
  <c r="AC16" i="4"/>
  <c r="AD11" i="4" a="1"/>
  <c r="AD11" i="4" s="1"/>
  <c r="AC11" i="4" a="1"/>
  <c r="AC11" i="4" s="1"/>
  <c r="AI12" i="4"/>
  <c r="AJ12" i="4"/>
  <c r="AJ11" i="4"/>
  <c r="AI11" i="4"/>
  <c r="AF11" i="4" a="1"/>
  <c r="AF11" i="4" s="1"/>
  <c r="AG8" i="4"/>
  <c r="AG7" i="4"/>
  <c r="AH8" i="4"/>
  <c r="AH7" i="4"/>
  <c r="AE8" i="4"/>
  <c r="AE7" i="4"/>
  <c r="AB7" i="4" a="1"/>
  <c r="AC7" i="4" s="1"/>
  <c r="V6" i="4"/>
  <c r="V5" i="4"/>
  <c r="U6" i="4"/>
  <c r="U5" i="4"/>
  <c r="U7" i="4"/>
  <c r="T6" i="4"/>
  <c r="T5" i="4"/>
  <c r="S6" i="4"/>
  <c r="S5" i="4"/>
  <c r="R6" i="4"/>
  <c r="R5" i="4"/>
  <c r="Q6" i="4"/>
  <c r="Q5" i="4"/>
  <c r="AE5" i="4"/>
  <c r="AD5" i="4"/>
  <c r="AC5" i="4"/>
  <c r="AD2" i="4"/>
  <c r="AC2" i="4"/>
  <c r="U4" i="4"/>
  <c r="T4" i="4"/>
  <c r="Q4" i="4"/>
  <c r="R40" i="4"/>
  <c r="Q40" i="4"/>
  <c r="R39" i="4"/>
  <c r="Q39" i="4"/>
  <c r="R36" i="4"/>
  <c r="Q36" i="4"/>
  <c r="R31" i="4" a="1"/>
  <c r="R32" i="4" s="1"/>
  <c r="Q31" i="4" a="1"/>
  <c r="Q32" i="4" s="1"/>
  <c r="X32" i="4"/>
  <c r="X31" i="4"/>
  <c r="W32" i="4"/>
  <c r="W31" i="4"/>
  <c r="T31" i="4" a="1"/>
  <c r="T31" i="4" s="1"/>
  <c r="V28" i="4"/>
  <c r="V27" i="4"/>
  <c r="U23" i="3"/>
  <c r="W27" i="3" s="1"/>
  <c r="U28" i="4"/>
  <c r="U27" i="4"/>
  <c r="S28" i="4"/>
  <c r="S27" i="4"/>
  <c r="P27" i="4" a="1"/>
  <c r="Q27" i="4" s="1"/>
  <c r="R21" i="4" a="1"/>
  <c r="R22" i="4" s="1"/>
  <c r="Q21" i="4" a="1"/>
  <c r="Q22" i="4" s="1"/>
  <c r="X17" i="3"/>
  <c r="Z22" i="4"/>
  <c r="Z23" i="4"/>
  <c r="Z24" i="4"/>
  <c r="Z21" i="4"/>
  <c r="Y22" i="4"/>
  <c r="Y23" i="4"/>
  <c r="Y24" i="4"/>
  <c r="Y21" i="4"/>
  <c r="T21" i="4" a="1"/>
  <c r="T21" i="4" s="1"/>
  <c r="X16" i="4"/>
  <c r="X17" i="4"/>
  <c r="X18" i="4"/>
  <c r="X15" i="4"/>
  <c r="W16" i="4"/>
  <c r="W17" i="4"/>
  <c r="W18" i="4"/>
  <c r="W15" i="4"/>
  <c r="W11" i="3"/>
  <c r="Y17" i="3" s="1"/>
  <c r="U18" i="4"/>
  <c r="U16" i="4"/>
  <c r="U17" i="4"/>
  <c r="U15" i="4"/>
  <c r="P15" i="4" a="1"/>
  <c r="Q15" i="4" s="1"/>
  <c r="Q13" i="4"/>
  <c r="Q12" i="4"/>
  <c r="Q11" i="4"/>
  <c r="Q10" i="4"/>
  <c r="Q9" i="4"/>
  <c r="Q8" i="4"/>
  <c r="Q7" i="4"/>
  <c r="T13" i="4"/>
  <c r="T11" i="4"/>
  <c r="T10" i="4"/>
  <c r="T9" i="4"/>
  <c r="T8" i="4"/>
  <c r="T7" i="4"/>
  <c r="T12" i="4"/>
  <c r="S13" i="4"/>
  <c r="R13" i="4"/>
  <c r="S12" i="4"/>
  <c r="S11" i="4"/>
  <c r="R12" i="4"/>
  <c r="R11" i="4"/>
  <c r="V13" i="4"/>
  <c r="V12" i="4"/>
  <c r="V11" i="4"/>
  <c r="U13" i="4"/>
  <c r="U12" i="4"/>
  <c r="U11" i="4"/>
  <c r="U10" i="4"/>
  <c r="V8" i="4"/>
  <c r="V9" i="4"/>
  <c r="V10" i="4"/>
  <c r="V7" i="4"/>
  <c r="U8" i="4"/>
  <c r="U9" i="4"/>
  <c r="S8" i="4"/>
  <c r="S9" i="4"/>
  <c r="S10" i="4"/>
  <c r="S7" i="4"/>
  <c r="R8" i="4"/>
  <c r="R9" i="4"/>
  <c r="R10" i="4"/>
  <c r="R7" i="4"/>
  <c r="J21" i="4"/>
  <c r="J20" i="4"/>
  <c r="J19" i="4"/>
  <c r="J18" i="4"/>
  <c r="J17" i="4"/>
  <c r="U24" i="5" l="1"/>
  <c r="V22" i="5"/>
  <c r="T22" i="5"/>
  <c r="T24" i="5"/>
  <c r="W24" i="5"/>
  <c r="T21" i="5"/>
  <c r="V23" i="5"/>
  <c r="W23" i="5"/>
  <c r="W22" i="5"/>
  <c r="W21" i="5"/>
  <c r="V21" i="5"/>
  <c r="T23" i="5"/>
  <c r="U23" i="5"/>
  <c r="U22" i="5"/>
  <c r="U21" i="5"/>
  <c r="V24" i="5"/>
  <c r="AF28" i="5"/>
  <c r="AE27" i="5"/>
  <c r="AE28" i="5"/>
  <c r="AF27" i="5"/>
  <c r="U31" i="5"/>
  <c r="U32" i="5"/>
  <c r="T31" i="5"/>
  <c r="T32" i="5"/>
  <c r="AG12" i="5"/>
  <c r="AF12" i="5"/>
  <c r="AF11" i="5"/>
  <c r="AG11" i="5"/>
  <c r="AE24" i="4"/>
  <c r="AC28" i="4"/>
  <c r="AE28" i="4"/>
  <c r="AE27" i="4"/>
  <c r="AF28" i="4"/>
  <c r="AC23" i="4"/>
  <c r="AB23" i="4"/>
  <c r="AC24" i="4"/>
  <c r="R44" i="4"/>
  <c r="S4" i="4" s="1"/>
  <c r="Q44" i="4"/>
  <c r="R4" i="4" s="1"/>
  <c r="AD17" i="4"/>
  <c r="AD12" i="4"/>
  <c r="AC12" i="4"/>
  <c r="AG12" i="4"/>
  <c r="AF12" i="4"/>
  <c r="AG11" i="4"/>
  <c r="AB7" i="4"/>
  <c r="AC8" i="4"/>
  <c r="AB8" i="4"/>
  <c r="R31" i="4"/>
  <c r="Q31" i="4"/>
  <c r="T32" i="4"/>
  <c r="U32" i="4"/>
  <c r="U31" i="4"/>
  <c r="Q28" i="4"/>
  <c r="P27" i="4"/>
  <c r="P28" i="4"/>
  <c r="R21" i="4"/>
  <c r="R24" i="4"/>
  <c r="R23" i="4"/>
  <c r="Q21" i="4"/>
  <c r="Q23" i="4"/>
  <c r="Q24" i="4"/>
  <c r="V22" i="4"/>
  <c r="W22" i="4"/>
  <c r="U24" i="4"/>
  <c r="T24" i="4"/>
  <c r="T22" i="4"/>
  <c r="W24" i="4"/>
  <c r="U22" i="4"/>
  <c r="W23" i="4"/>
  <c r="W21" i="4"/>
  <c r="V24" i="4"/>
  <c r="V23" i="4"/>
  <c r="V21" i="4"/>
  <c r="U23" i="4"/>
  <c r="U21" i="4"/>
  <c r="T23" i="4"/>
  <c r="P17" i="4"/>
  <c r="P15" i="4"/>
  <c r="S18" i="4"/>
  <c r="S16" i="4"/>
  <c r="R18" i="4"/>
  <c r="R16" i="4"/>
  <c r="Q16" i="4"/>
  <c r="P18" i="4"/>
  <c r="S17" i="4"/>
  <c r="S15" i="4"/>
  <c r="R15" i="4"/>
  <c r="Q18" i="4"/>
  <c r="P16" i="4"/>
  <c r="R17" i="4"/>
  <c r="Q17" i="4"/>
  <c r="Q31" i="5" l="1" a="1"/>
  <c r="R31" i="5" a="1"/>
  <c r="AC11" i="5" a="1"/>
  <c r="AD11" i="5" a="1"/>
  <c r="R21" i="5" a="1"/>
  <c r="Q21" i="5" a="1"/>
  <c r="Q46" i="4"/>
  <c r="AC15" i="4" s="1"/>
  <c r="AC17" i="4" s="1"/>
  <c r="AD28" i="3" a="1"/>
  <c r="AD29" i="3" s="1"/>
  <c r="AF15" i="3"/>
  <c r="AF11" i="3"/>
  <c r="T24" i="3"/>
  <c r="V28" i="3" s="1"/>
  <c r="T23" i="3"/>
  <c r="V27" i="3" s="1"/>
  <c r="O23" i="3" a="1"/>
  <c r="P23" i="3" s="1"/>
  <c r="V12" i="3"/>
  <c r="X18" i="3" s="1"/>
  <c r="V13" i="3"/>
  <c r="X19" i="3" s="1"/>
  <c r="V14" i="3"/>
  <c r="X20" i="3" s="1"/>
  <c r="O11" i="3" a="1"/>
  <c r="P11" i="3" s="1"/>
  <c r="Q9" i="3"/>
  <c r="Q8" i="3"/>
  <c r="Q7" i="3"/>
  <c r="Q6" i="3"/>
  <c r="Q5" i="3"/>
  <c r="Q23" i="5" l="1"/>
  <c r="Q22" i="5"/>
  <c r="Q24" i="5"/>
  <c r="Q21" i="5"/>
  <c r="AD11" i="5"/>
  <c r="AD12" i="5"/>
  <c r="AC11" i="5"/>
  <c r="AC12" i="5"/>
  <c r="R21" i="5"/>
  <c r="R39" i="5" s="1"/>
  <c r="R23" i="5"/>
  <c r="R24" i="5"/>
  <c r="R22" i="5"/>
  <c r="R32" i="5"/>
  <c r="R31" i="5"/>
  <c r="R40" i="5" s="1"/>
  <c r="R41" i="5" s="1"/>
  <c r="Q32" i="5"/>
  <c r="Q31" i="5"/>
  <c r="Q40" i="5" s="1"/>
  <c r="AD28" i="3"/>
  <c r="AE28" i="3"/>
  <c r="AE29" i="3"/>
  <c r="O23" i="3"/>
  <c r="P24" i="3"/>
  <c r="O24" i="3"/>
  <c r="O11" i="3"/>
  <c r="S17" i="3" s="1" a="1"/>
  <c r="T17" i="3" s="1"/>
  <c r="R14" i="3"/>
  <c r="R12" i="3"/>
  <c r="Q14" i="3"/>
  <c r="Q12" i="3"/>
  <c r="P14" i="3"/>
  <c r="P12" i="3"/>
  <c r="R11" i="3"/>
  <c r="O14" i="3"/>
  <c r="R13" i="3"/>
  <c r="Q13" i="3"/>
  <c r="Q11" i="3"/>
  <c r="O13" i="3"/>
  <c r="O12" i="3"/>
  <c r="P13" i="3"/>
  <c r="AC16" i="5" l="1"/>
  <c r="AD15" i="5"/>
  <c r="AD17" i="5" s="1"/>
  <c r="AD16" i="5"/>
  <c r="Q39" i="5"/>
  <c r="Q41" i="5" s="1"/>
  <c r="Q44" i="5" s="1"/>
  <c r="T18" i="3"/>
  <c r="U19" i="3"/>
  <c r="T19" i="3"/>
  <c r="V19" i="3"/>
  <c r="S20" i="3"/>
  <c r="U17" i="3"/>
  <c r="V20" i="3"/>
  <c r="V17" i="3"/>
  <c r="S18" i="3"/>
  <c r="U20" i="3"/>
  <c r="T20" i="3"/>
  <c r="V18" i="3"/>
  <c r="U18" i="3"/>
  <c r="S19" i="3"/>
  <c r="S17" i="3"/>
  <c r="S27" i="3" a="1"/>
  <c r="W14" i="3"/>
  <c r="Y20" i="3" s="1"/>
  <c r="W12" i="3"/>
  <c r="Y18" i="3" s="1"/>
  <c r="U24" i="3"/>
  <c r="W28" i="3" s="1"/>
  <c r="W13" i="3"/>
  <c r="Y19" i="3" s="1"/>
  <c r="Q46" i="5" l="1"/>
  <c r="R4" i="5"/>
  <c r="S27" i="3"/>
  <c r="T27" i="3"/>
  <c r="T28" i="3"/>
  <c r="S28" i="3"/>
  <c r="P17" i="3" a="1"/>
  <c r="Q17" i="3" a="1"/>
  <c r="Q18" i="3" s="1"/>
  <c r="AC15" i="5" l="1"/>
  <c r="AC17" i="5" s="1"/>
  <c r="AC20" i="5" s="1"/>
  <c r="AG24" i="5" s="1"/>
  <c r="AH28" i="5" s="1"/>
  <c r="P17" i="3"/>
  <c r="P20" i="3"/>
  <c r="P19" i="3"/>
  <c r="P18" i="3"/>
  <c r="P27" i="3" a="1"/>
  <c r="Q20" i="3"/>
  <c r="Q17" i="3"/>
  <c r="AC1" i="3" s="1"/>
  <c r="Q19" i="3"/>
  <c r="AB1" i="3" l="1"/>
  <c r="AG23" i="5"/>
  <c r="AH27" i="5" s="1"/>
  <c r="AC27" i="5" s="1" a="1"/>
  <c r="AC27" i="5" s="1"/>
  <c r="P27" i="3"/>
  <c r="P28" i="3"/>
  <c r="AC28" i="5" l="1"/>
  <c r="AE24" i="5" s="1"/>
  <c r="AE23" i="5"/>
  <c r="AB2" i="3"/>
  <c r="AB3" i="3" s="1"/>
  <c r="Q27" i="3" a="1"/>
  <c r="Q28" i="3" s="1"/>
  <c r="AE20" i="5" l="1"/>
  <c r="J16" i="5"/>
  <c r="Q27" i="3"/>
  <c r="J17" i="5" l="1"/>
  <c r="AE8" i="5"/>
  <c r="Q5" i="5"/>
  <c r="AD5" i="5"/>
  <c r="AC2" i="3"/>
  <c r="AC3" i="3" s="1"/>
  <c r="J18" i="5" l="1"/>
  <c r="AC19" i="3"/>
  <c r="AE7" i="5"/>
  <c r="R44" i="5"/>
  <c r="S4" i="5" s="1"/>
  <c r="Q4" i="5"/>
  <c r="Q6" i="5"/>
  <c r="AE5" i="5"/>
  <c r="T5" i="5" s="1"/>
  <c r="S6" i="5"/>
  <c r="S5" i="5"/>
  <c r="AC11" i="3"/>
  <c r="AC13" i="3" s="1"/>
  <c r="AC15" i="3"/>
  <c r="AC17" i="3" s="1"/>
  <c r="J13" i="5" l="1"/>
  <c r="T6" i="5"/>
  <c r="AC22" i="3"/>
  <c r="AG29" i="3" s="1"/>
  <c r="AC21" i="3"/>
  <c r="AG28" i="3" s="1"/>
  <c r="J12" i="5" l="1"/>
  <c r="Q12" i="5" s="1"/>
  <c r="J7" i="5"/>
  <c r="U15" i="5" s="1"/>
  <c r="J8" i="5"/>
  <c r="U16" i="5" s="1"/>
  <c r="J10" i="5"/>
  <c r="U18" i="5" s="1"/>
  <c r="J11" i="5"/>
  <c r="S27" i="5" s="1"/>
  <c r="J9" i="5"/>
  <c r="Q9" i="5" s="1"/>
  <c r="Q13" i="5"/>
  <c r="N13" i="5"/>
  <c r="T13" i="5"/>
  <c r="AB28" i="3" a="1"/>
  <c r="AB28" i="3" s="1"/>
  <c r="I2" i="3" l="1"/>
  <c r="N11" i="5"/>
  <c r="Q11" i="5"/>
  <c r="S28" i="5"/>
  <c r="Q7" i="5"/>
  <c r="U17" i="5"/>
  <c r="N10" i="5"/>
  <c r="Q10" i="5"/>
  <c r="Q8" i="5"/>
  <c r="AB29" i="3"/>
  <c r="N12" i="5" l="1"/>
  <c r="I3" i="3"/>
  <c r="AC7" i="3" s="1"/>
  <c r="AE11" i="3" s="1"/>
  <c r="AB11" i="3"/>
  <c r="T7" i="5"/>
  <c r="T11" i="5"/>
  <c r="T12" i="5"/>
  <c r="T10" i="5"/>
  <c r="T8" i="5"/>
  <c r="N9" i="5"/>
  <c r="T9" i="5"/>
  <c r="N8" i="5"/>
  <c r="I12" i="3"/>
  <c r="K2" i="3" l="1"/>
  <c r="AD15" i="3"/>
  <c r="AD17" i="3" s="1"/>
  <c r="AD22" i="3" s="1"/>
  <c r="AD13" i="3"/>
  <c r="AD11" i="3"/>
  <c r="AB15" i="3"/>
  <c r="AE15" i="3"/>
  <c r="AE17" i="3" s="1"/>
  <c r="AE22" i="3" s="1"/>
  <c r="AE13" i="3"/>
  <c r="AE21" i="3" s="1"/>
  <c r="I4" i="3" l="1"/>
  <c r="M2" i="3"/>
  <c r="M3" i="3"/>
  <c r="I7" i="3"/>
  <c r="P7" i="3" s="1"/>
  <c r="I6" i="3"/>
  <c r="T13" i="3" s="1"/>
  <c r="I5" i="3"/>
  <c r="P5" i="3" s="1"/>
  <c r="I9" i="3"/>
  <c r="I8" i="3"/>
  <c r="R23" i="3" l="1"/>
  <c r="S4" i="3"/>
  <c r="T11" i="3"/>
  <c r="T14" i="3"/>
  <c r="P6" i="3"/>
  <c r="S7" i="3"/>
  <c r="T12" i="3"/>
  <c r="S6" i="3"/>
  <c r="S5" i="3"/>
  <c r="R24" i="3"/>
  <c r="P9" i="3"/>
  <c r="P4" i="3"/>
  <c r="I13" i="3"/>
  <c r="K3" i="3" s="1"/>
  <c r="I14" i="3"/>
  <c r="M8" i="3" s="1"/>
  <c r="S9" i="3"/>
  <c r="S8" i="3"/>
  <c r="P8" i="3"/>
  <c r="M6" i="3" l="1"/>
  <c r="M7" i="3"/>
  <c r="M5" i="3"/>
  <c r="M4" i="3"/>
  <c r="K4" i="3"/>
  <c r="M9" i="3"/>
  <c r="M10" i="3" l="1"/>
</calcChain>
</file>

<file path=xl/sharedStrings.xml><?xml version="1.0" encoding="utf-8"?>
<sst xmlns="http://schemas.openxmlformats.org/spreadsheetml/2006/main" count="360" uniqueCount="113">
  <si>
    <t xml:space="preserve">Незименяемые параметры </t>
  </si>
  <si>
    <t>Узел</t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</si>
  <si>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1</t>
    </r>
    <r>
      <rPr>
        <b/>
        <vertAlign val="superscript"/>
        <sz val="11"/>
        <color theme="0"/>
        <rFont val="Calibri"/>
        <family val="2"/>
        <charset val="204"/>
        <scheme val="minor"/>
      </rPr>
      <t>1</t>
    </r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</si>
  <si>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1</t>
    </r>
    <r>
      <rPr>
        <b/>
        <vertAlign val="superscript"/>
        <sz val="11"/>
        <color theme="0"/>
        <rFont val="Calibri"/>
        <family val="2"/>
        <charset val="204"/>
        <scheme val="minor"/>
      </rPr>
      <t>2</t>
    </r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</si>
  <si>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2</t>
    </r>
    <r>
      <rPr>
        <b/>
        <vertAlign val="superscript"/>
        <sz val="11"/>
        <color theme="0"/>
        <rFont val="Calibri"/>
        <family val="2"/>
        <charset val="204"/>
        <scheme val="minor"/>
      </rPr>
      <t>2</t>
    </r>
  </si>
  <si>
    <r>
      <t>Кол-во фирм в узле    (n</t>
    </r>
    <r>
      <rPr>
        <b/>
        <vertAlign val="subscript"/>
        <sz val="11"/>
        <color theme="0"/>
        <rFont val="Calibri"/>
        <family val="2"/>
        <charset val="204"/>
        <scheme val="minor"/>
      </rPr>
      <t>ij)</t>
    </r>
  </si>
  <si>
    <t xml:space="preserve">Изменяемые параметры </t>
  </si>
  <si>
    <r>
      <t>С</t>
    </r>
    <r>
      <rPr>
        <b/>
        <vertAlign val="subscript"/>
        <sz val="10"/>
        <color rgb="FF006100"/>
        <rFont val="Calibri"/>
        <family val="2"/>
        <charset val="204"/>
        <scheme val="minor"/>
      </rPr>
      <t>11i</t>
    </r>
  </si>
  <si>
    <r>
      <t>C</t>
    </r>
    <r>
      <rPr>
        <b/>
        <vertAlign val="subscript"/>
        <sz val="10"/>
        <color rgb="FF006100"/>
        <rFont val="Calibri"/>
        <family val="2"/>
        <charset val="204"/>
        <scheme val="minor"/>
      </rPr>
      <t>21i</t>
    </r>
  </si>
  <si>
    <r>
      <t>C</t>
    </r>
    <r>
      <rPr>
        <b/>
        <vertAlign val="subscript"/>
        <sz val="10"/>
        <color rgb="FF006100"/>
        <rFont val="Calibri"/>
        <family val="2"/>
        <charset val="204"/>
        <scheme val="minor"/>
      </rPr>
      <t>22i</t>
    </r>
  </si>
  <si>
    <r>
      <t>Затраты на производства ед.прод (С</t>
    </r>
    <r>
      <rPr>
        <b/>
        <vertAlign val="subscript"/>
        <sz val="9"/>
        <color theme="0"/>
        <rFont val="Calibri"/>
        <family val="2"/>
        <charset val="204"/>
        <scheme val="minor"/>
      </rPr>
      <t>ijk</t>
    </r>
    <r>
      <rPr>
        <b/>
        <sz val="9"/>
        <color theme="0"/>
        <rFont val="Calibri"/>
        <family val="2"/>
        <charset val="204"/>
        <scheme val="minor"/>
      </rPr>
      <t>)</t>
    </r>
  </si>
  <si>
    <t>Обьем выпуска</t>
  </si>
  <si>
    <t>q111</t>
  </si>
  <si>
    <t>q112</t>
  </si>
  <si>
    <t>q211</t>
  </si>
  <si>
    <t>q212</t>
  </si>
  <si>
    <t>q213</t>
  </si>
  <si>
    <t>q214</t>
  </si>
  <si>
    <t>q221</t>
  </si>
  <si>
    <t>q222</t>
  </si>
  <si>
    <t>Цена</t>
  </si>
  <si>
    <t>p11</t>
  </si>
  <si>
    <t>p21</t>
  </si>
  <si>
    <t>p22</t>
  </si>
  <si>
    <t>Прибыль</t>
  </si>
  <si>
    <t>Спрос(Сумм. обьем)</t>
  </si>
  <si>
    <t>Q11</t>
  </si>
  <si>
    <t>Q21</t>
  </si>
  <si>
    <t>Q22</t>
  </si>
  <si>
    <t>π111</t>
  </si>
  <si>
    <t>π112</t>
  </si>
  <si>
    <t>π211</t>
  </si>
  <si>
    <t>π212</t>
  </si>
  <si>
    <t>π213</t>
  </si>
  <si>
    <t>π214</t>
  </si>
  <si>
    <t>π221</t>
  </si>
  <si>
    <t>π222</t>
  </si>
  <si>
    <t>Коэф. Функции цены и спроса</t>
  </si>
  <si>
    <t>A</t>
  </si>
  <si>
    <t>B</t>
  </si>
  <si>
    <t xml:space="preserve">Всомогательная матрица </t>
  </si>
  <si>
    <t>X</t>
  </si>
  <si>
    <t>↓</t>
  </si>
  <si>
    <t>q211=</t>
  </si>
  <si>
    <t>q212=</t>
  </si>
  <si>
    <t>q213=</t>
  </si>
  <si>
    <t>q214=</t>
  </si>
  <si>
    <t>Х</t>
  </si>
  <si>
    <t>q221=</t>
  </si>
  <si>
    <t>q222=</t>
  </si>
  <si>
    <t>Ход решения</t>
  </si>
  <si>
    <t>=</t>
  </si>
  <si>
    <t>Q21=</t>
  </si>
  <si>
    <t>Q22=</t>
  </si>
  <si>
    <t>Q11=</t>
  </si>
  <si>
    <t>Исходя из условия отсуствия дефицита</t>
  </si>
  <si>
    <t>P11=</t>
  </si>
  <si>
    <t>Функция цены для первого узла принимает вид</t>
  </si>
  <si>
    <t>Функция прибыли для 1 узла</t>
  </si>
  <si>
    <t>Для сокращения</t>
  </si>
  <si>
    <t>π111*</t>
  </si>
  <si>
    <t>π112*</t>
  </si>
  <si>
    <t>q111=</t>
  </si>
  <si>
    <t>q112=</t>
  </si>
  <si>
    <t>Сумма=</t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</si>
  <si>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3</t>
    </r>
    <r>
      <rPr>
        <b/>
        <vertAlign val="superscript"/>
        <sz val="11"/>
        <color theme="0"/>
        <rFont val="Calibri"/>
        <family val="2"/>
        <charset val="204"/>
        <scheme val="minor"/>
      </rPr>
      <t>3</t>
    </r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</si>
  <si>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2</t>
    </r>
    <r>
      <rPr>
        <b/>
        <vertAlign val="superscript"/>
        <sz val="11"/>
        <color theme="0"/>
        <rFont val="Calibri"/>
        <family val="2"/>
        <charset val="204"/>
        <scheme val="minor"/>
      </rPr>
      <t>3</t>
    </r>
  </si>
  <si>
    <r>
      <t>X</t>
    </r>
    <r>
      <rPr>
        <b/>
        <vertAlign val="subscript"/>
        <sz val="11"/>
        <color theme="0"/>
        <rFont val="Calibri"/>
        <family val="2"/>
        <charset val="204"/>
        <scheme val="minor"/>
      </rPr>
      <t>1</t>
    </r>
    <r>
      <rPr>
        <b/>
        <vertAlign val="superscript"/>
        <sz val="11"/>
        <color theme="0"/>
        <rFont val="Calibri"/>
        <family val="2"/>
        <charset val="204"/>
        <scheme val="minor"/>
      </rPr>
      <t>3</t>
    </r>
  </si>
  <si>
    <r>
      <t>C</t>
    </r>
    <r>
      <rPr>
        <b/>
        <vertAlign val="subscript"/>
        <sz val="10"/>
        <color rgb="FF006100"/>
        <rFont val="Calibri"/>
        <family val="2"/>
        <charset val="204"/>
        <scheme val="minor"/>
      </rPr>
      <t>31i</t>
    </r>
  </si>
  <si>
    <r>
      <t>C</t>
    </r>
    <r>
      <rPr>
        <b/>
        <vertAlign val="subscript"/>
        <sz val="10"/>
        <color rgb="FF006100"/>
        <rFont val="Calibri"/>
        <family val="2"/>
        <charset val="204"/>
        <scheme val="minor"/>
      </rPr>
      <t>32i</t>
    </r>
  </si>
  <si>
    <t>q311</t>
  </si>
  <si>
    <t>q312</t>
  </si>
  <si>
    <t>q313</t>
  </si>
  <si>
    <t>q314</t>
  </si>
  <si>
    <t>q321</t>
  </si>
  <si>
    <t>q322</t>
  </si>
  <si>
    <t>q331</t>
  </si>
  <si>
    <t>p31</t>
  </si>
  <si>
    <t>p32</t>
  </si>
  <si>
    <t>p33</t>
  </si>
  <si>
    <t>Q31</t>
  </si>
  <si>
    <t>Q32</t>
  </si>
  <si>
    <t>Q33</t>
  </si>
  <si>
    <t>π314</t>
  </si>
  <si>
    <t>π321</t>
  </si>
  <si>
    <t>π322</t>
  </si>
  <si>
    <t>π331</t>
  </si>
  <si>
    <t>π311</t>
  </si>
  <si>
    <t>π312</t>
  </si>
  <si>
    <t>π313</t>
  </si>
  <si>
    <t xml:space="preserve">const = </t>
  </si>
  <si>
    <t>Система уравнений (вытекающая из условия максимума) №1(Для 31i)</t>
  </si>
  <si>
    <t>q311=</t>
  </si>
  <si>
    <t>q312=</t>
  </si>
  <si>
    <t>q313=</t>
  </si>
  <si>
    <t>q314=</t>
  </si>
  <si>
    <t>Система уравнений (вытекающая из условия максимума) №2(Для 32i)</t>
  </si>
  <si>
    <t>q321=</t>
  </si>
  <si>
    <t>q322=</t>
  </si>
  <si>
    <t>q331=</t>
  </si>
  <si>
    <t>Система уравнений (вытекающая из условия максимума) №3(Для 33i)</t>
  </si>
  <si>
    <t xml:space="preserve">Исходя из условия отсуствия излишков и дефицита </t>
  </si>
  <si>
    <t>Q31=</t>
  </si>
  <si>
    <t>Q32=</t>
  </si>
  <si>
    <t>Функция цены для узла 21 принимает вид</t>
  </si>
  <si>
    <t>P21=</t>
  </si>
  <si>
    <t>P22=</t>
  </si>
  <si>
    <t>Система уравнений (вытекающая из условия максимума) №4(Для 21i)</t>
  </si>
  <si>
    <t>Система уравнений (вытекающая из условия максимума) №5(Для 22i)</t>
  </si>
  <si>
    <t>Ответы по заданным параметрам</t>
  </si>
  <si>
    <t>↑</t>
  </si>
  <si>
    <t>Система уравнений (вытекающая из условия максимума) №2 Для 22i</t>
  </si>
  <si>
    <t>Система уравнений (вытекающая из условия максимума) №1 Для 21i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</si>
</sst>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vertAlign val="superscript"/>
      <sz val="11"/>
      <color theme="0"/>
      <name val="Calibri"/>
      <family val="2"/>
      <charset val="204"/>
      <scheme val="minor"/>
    </font>
    <font>
      <b/>
      <vertAlign val="subscript"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6100"/>
      <name val="Calibri"/>
      <family val="2"/>
      <charset val="204"/>
      <scheme val="minor"/>
    </font>
    <font>
      <b/>
      <vertAlign val="subscript"/>
      <sz val="10"/>
      <color rgb="FF006100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b/>
      <vertAlign val="subscript"/>
      <sz val="9"/>
      <color theme="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 style="medium">
        <color indexed="64"/>
      </left>
      <right style="double">
        <color rgb="FF3F3F3F"/>
      </right>
      <top/>
      <bottom/>
      <diagonal/>
    </border>
    <border>
      <left style="double">
        <color rgb="FF3F3F3F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theme="5" tint="-0.499984740745262"/>
      </top>
      <bottom/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indexed="64"/>
      </top>
      <bottom/>
      <diagonal/>
    </border>
    <border>
      <left style="thin">
        <color theme="5" tint="-0.499984740745262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2" applyNumberFormat="0" applyAlignment="0" applyProtection="0"/>
    <xf numFmtId="0" fontId="8" fillId="4" borderId="1" applyNumberFormat="0" applyAlignment="0" applyProtection="0"/>
    <xf numFmtId="0" fontId="9" fillId="5" borderId="3" applyNumberFormat="0" applyAlignment="0" applyProtection="0"/>
    <xf numFmtId="0" fontId="10" fillId="0" borderId="0" applyNumberFormat="0" applyFill="0" applyBorder="0" applyAlignment="0" applyProtection="0"/>
    <xf numFmtId="0" fontId="4" fillId="6" borderId="4" applyNumberFormat="0" applyFont="0" applyAlignment="0" applyProtection="0"/>
    <xf numFmtId="0" fontId="11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3" fillId="19" borderId="0" applyNumberFormat="0" applyBorder="0" applyAlignment="0" applyProtection="0"/>
  </cellStyleXfs>
  <cellXfs count="208">
    <xf numFmtId="0" fontId="0" fillId="0" borderId="0" xfId="0"/>
    <xf numFmtId="0" fontId="0" fillId="0" borderId="0" xfId="0" applyAlignment="1"/>
    <xf numFmtId="0" fontId="9" fillId="5" borderId="3" xfId="5" applyAlignment="1">
      <alignment horizontal="center"/>
    </xf>
    <xf numFmtId="0" fontId="9" fillId="5" borderId="3" xfId="5" applyAlignment="1">
      <alignment horizontal="center" vertical="center"/>
    </xf>
    <xf numFmtId="0" fontId="5" fillId="16" borderId="0" xfId="1" applyFill="1" applyBorder="1" applyAlignment="1">
      <alignment horizontal="center"/>
    </xf>
    <xf numFmtId="0" fontId="19" fillId="16" borderId="6" xfId="0" applyFont="1" applyFill="1" applyBorder="1" applyAlignment="1">
      <alignment horizontal="center" vertical="center" wrapText="1"/>
    </xf>
    <xf numFmtId="0" fontId="8" fillId="4" borderId="1" xfId="4"/>
    <xf numFmtId="0" fontId="14" fillId="0" borderId="0" xfId="0" applyFont="1"/>
    <xf numFmtId="0" fontId="0" fillId="6" borderId="4" xfId="7" applyFont="1"/>
    <xf numFmtId="0" fontId="7" fillId="4" borderId="2" xfId="3"/>
    <xf numFmtId="0" fontId="12" fillId="11" borderId="6" xfId="13" applyFont="1" applyBorder="1"/>
    <xf numFmtId="0" fontId="12" fillId="11" borderId="7" xfId="13" applyFont="1" applyBorder="1"/>
    <xf numFmtId="0" fontId="12" fillId="16" borderId="6" xfId="14" applyFont="1" applyFill="1" applyBorder="1"/>
    <xf numFmtId="0" fontId="7" fillId="4" borderId="6" xfId="3" applyFont="1" applyBorder="1"/>
    <xf numFmtId="0" fontId="0" fillId="6" borderId="4" xfId="7" applyFont="1" applyAlignment="1">
      <alignment horizontal="center"/>
    </xf>
    <xf numFmtId="0" fontId="0" fillId="6" borderId="14" xfId="7" applyFont="1" applyBorder="1" applyAlignment="1">
      <alignment horizontal="center"/>
    </xf>
    <xf numFmtId="0" fontId="9" fillId="5" borderId="13" xfId="5" applyBorder="1" applyAlignment="1">
      <alignment horizontal="center" vertical="center" wrapText="1"/>
    </xf>
    <xf numFmtId="0" fontId="0" fillId="6" borderId="6" xfId="7" applyFont="1" applyBorder="1" applyAlignment="1">
      <alignment horizontal="center"/>
    </xf>
    <xf numFmtId="0" fontId="20" fillId="6" borderId="15" xfId="7" applyFont="1" applyBorder="1" applyAlignment="1">
      <alignment horizontal="center"/>
    </xf>
    <xf numFmtId="0" fontId="19" fillId="16" borderId="17" xfId="0" applyFont="1" applyFill="1" applyBorder="1" applyAlignment="1">
      <alignment horizontal="center" vertical="center" wrapText="1"/>
    </xf>
    <xf numFmtId="0" fontId="0" fillId="6" borderId="21" xfId="7" applyFont="1" applyBorder="1" applyAlignment="1">
      <alignment horizontal="center"/>
    </xf>
    <xf numFmtId="0" fontId="9" fillId="5" borderId="25" xfId="5" applyBorder="1"/>
    <xf numFmtId="0" fontId="0" fillId="6" borderId="27" xfId="7" applyFont="1" applyBorder="1" applyAlignment="1">
      <alignment horizontal="center"/>
    </xf>
    <xf numFmtId="0" fontId="9" fillId="5" borderId="28" xfId="5" applyBorder="1" applyAlignment="1">
      <alignment horizontal="center" vertical="center" wrapText="1"/>
    </xf>
    <xf numFmtId="0" fontId="9" fillId="5" borderId="29" xfId="5" applyBorder="1"/>
    <xf numFmtId="0" fontId="0" fillId="16" borderId="6" xfId="7" applyFont="1" applyFill="1" applyBorder="1" applyAlignment="1">
      <alignment horizontal="center"/>
    </xf>
    <xf numFmtId="0" fontId="11" fillId="0" borderId="0" xfId="8"/>
    <xf numFmtId="0" fontId="11" fillId="0" borderId="33" xfId="8" applyBorder="1"/>
    <xf numFmtId="0" fontId="11" fillId="0" borderId="0" xfId="8" applyBorder="1"/>
    <xf numFmtId="0" fontId="11" fillId="0" borderId="34" xfId="8" applyBorder="1"/>
    <xf numFmtId="0" fontId="11" fillId="0" borderId="35" xfId="8" applyBorder="1"/>
    <xf numFmtId="0" fontId="11" fillId="0" borderId="36" xfId="8" applyBorder="1"/>
    <xf numFmtId="0" fontId="11" fillId="0" borderId="37" xfId="8" applyBorder="1"/>
    <xf numFmtId="0" fontId="0" fillId="0" borderId="6" xfId="0" applyBorder="1"/>
    <xf numFmtId="0" fontId="10" fillId="11" borderId="6" xfId="6" applyFill="1" applyBorder="1"/>
    <xf numFmtId="0" fontId="0" fillId="16" borderId="0" xfId="0" applyFill="1"/>
    <xf numFmtId="0" fontId="0" fillId="0" borderId="6" xfId="0" applyBorder="1" applyAlignment="1"/>
    <xf numFmtId="0" fontId="0" fillId="17" borderId="0" xfId="0" applyFill="1"/>
    <xf numFmtId="0" fontId="0" fillId="18" borderId="42" xfId="0" applyFill="1" applyBorder="1"/>
    <xf numFmtId="0" fontId="0" fillId="18" borderId="42" xfId="0" applyFill="1" applyBorder="1" applyAlignment="1">
      <alignment horizontal="center" vertical="center"/>
    </xf>
    <xf numFmtId="0" fontId="7" fillId="4" borderId="43" xfId="3" applyBorder="1"/>
    <xf numFmtId="0" fontId="13" fillId="8" borderId="42" xfId="10" applyBorder="1"/>
    <xf numFmtId="0" fontId="0" fillId="0" borderId="39" xfId="0" applyBorder="1"/>
    <xf numFmtId="0" fontId="0" fillId="0" borderId="40" xfId="0" applyBorder="1"/>
    <xf numFmtId="0" fontId="7" fillId="4" borderId="2" xfId="3" applyAlignment="1">
      <alignment horizontal="center"/>
    </xf>
    <xf numFmtId="0" fontId="7" fillId="18" borderId="2" xfId="3" applyFill="1" applyAlignment="1">
      <alignment horizontal="center"/>
    </xf>
    <xf numFmtId="0" fontId="12" fillId="18" borderId="6" xfId="13" applyFont="1" applyFill="1" applyBorder="1"/>
    <xf numFmtId="0" fontId="12" fillId="18" borderId="7" xfId="13" applyFont="1" applyFill="1" applyBorder="1"/>
    <xf numFmtId="0" fontId="12" fillId="18" borderId="6" xfId="14" applyFont="1" applyFill="1" applyBorder="1"/>
    <xf numFmtId="0" fontId="7" fillId="18" borderId="6" xfId="3" applyFont="1" applyFill="1" applyBorder="1"/>
    <xf numFmtId="0" fontId="0" fillId="18" borderId="4" xfId="7" applyFont="1" applyFill="1"/>
    <xf numFmtId="0" fontId="7" fillId="4" borderId="2" xfId="3" applyAlignment="1">
      <alignment horizontal="center" vertical="center"/>
    </xf>
    <xf numFmtId="0" fontId="3" fillId="11" borderId="6" xfId="13" applyBorder="1" applyAlignment="1">
      <alignment horizontal="center" vertical="center"/>
    </xf>
    <xf numFmtId="0" fontId="9" fillId="5" borderId="3" xfId="5" applyAlignment="1">
      <alignment horizontal="center" vertical="center"/>
    </xf>
    <xf numFmtId="0" fontId="19" fillId="16" borderId="6" xfId="0" applyFont="1" applyFill="1" applyBorder="1" applyAlignment="1">
      <alignment vertical="center" wrapText="1"/>
    </xf>
    <xf numFmtId="0" fontId="0" fillId="6" borderId="38" xfId="7" applyFont="1" applyBorder="1" applyAlignment="1">
      <alignment horizontal="center"/>
    </xf>
    <xf numFmtId="0" fontId="19" fillId="16" borderId="47" xfId="0" applyFont="1" applyFill="1" applyBorder="1" applyAlignment="1">
      <alignment vertical="center" wrapText="1"/>
    </xf>
    <xf numFmtId="0" fontId="9" fillId="5" borderId="3" xfId="5" applyAlignment="1">
      <alignment horizontal="center" vertical="center"/>
    </xf>
    <xf numFmtId="0" fontId="6" fillId="3" borderId="0" xfId="2"/>
    <xf numFmtId="0" fontId="6" fillId="3" borderId="0" xfId="2" applyBorder="1"/>
    <xf numFmtId="0" fontId="0" fillId="20" borderId="0" xfId="0" applyFill="1"/>
    <xf numFmtId="0" fontId="13" fillId="19" borderId="6" xfId="18" applyBorder="1"/>
    <xf numFmtId="0" fontId="3" fillId="11" borderId="6" xfId="13" applyBorder="1"/>
    <xf numFmtId="0" fontId="3" fillId="12" borderId="6" xfId="14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52" xfId="0" applyBorder="1"/>
    <xf numFmtId="0" fontId="0" fillId="0" borderId="53" xfId="0" applyBorder="1"/>
    <xf numFmtId="0" fontId="0" fillId="0" borderId="51" xfId="0" applyBorder="1"/>
    <xf numFmtId="0" fontId="0" fillId="0" borderId="54" xfId="0" applyBorder="1"/>
    <xf numFmtId="0" fontId="0" fillId="0" borderId="55" xfId="0" applyBorder="1"/>
    <xf numFmtId="0" fontId="8" fillId="4" borderId="56" xfId="4" applyBorder="1"/>
    <xf numFmtId="0" fontId="0" fillId="0" borderId="57" xfId="0" applyBorder="1"/>
    <xf numFmtId="0" fontId="0" fillId="0" borderId="58" xfId="0" applyBorder="1"/>
    <xf numFmtId="0" fontId="7" fillId="18" borderId="2" xfId="3" applyFill="1" applyBorder="1" applyAlignment="1">
      <alignment horizontal="center"/>
    </xf>
    <xf numFmtId="0" fontId="7" fillId="4" borderId="2" xfId="3" applyBorder="1" applyAlignment="1">
      <alignment horizontal="center" vertical="center"/>
    </xf>
    <xf numFmtId="0" fontId="7" fillId="4" borderId="2" xfId="3" applyBorder="1" applyAlignment="1">
      <alignment horizontal="center"/>
    </xf>
    <xf numFmtId="0" fontId="7" fillId="4" borderId="2" xfId="3" applyBorder="1"/>
    <xf numFmtId="0" fontId="10" fillId="0" borderId="0" xfId="6" applyBorder="1"/>
    <xf numFmtId="0" fontId="14" fillId="0" borderId="0" xfId="0" applyFont="1" applyBorder="1"/>
    <xf numFmtId="0" fontId="0" fillId="6" borderId="4" xfId="7" applyFont="1" applyBorder="1" applyAlignment="1">
      <alignment horizontal="center"/>
    </xf>
    <xf numFmtId="0" fontId="7" fillId="18" borderId="68" xfId="3" applyFill="1" applyBorder="1" applyAlignment="1">
      <alignment horizontal="center"/>
    </xf>
    <xf numFmtId="0" fontId="3" fillId="11" borderId="21" xfId="13" applyBorder="1" applyAlignment="1">
      <alignment horizontal="center" vertical="center"/>
    </xf>
    <xf numFmtId="0" fontId="10" fillId="0" borderId="34" xfId="6" applyBorder="1"/>
    <xf numFmtId="0" fontId="0" fillId="18" borderId="69" xfId="7" applyFont="1" applyFill="1" applyBorder="1"/>
    <xf numFmtId="0" fontId="0" fillId="18" borderId="70" xfId="7" applyFont="1" applyFill="1" applyBorder="1"/>
    <xf numFmtId="0" fontId="14" fillId="0" borderId="36" xfId="0" applyFont="1" applyBorder="1"/>
    <xf numFmtId="0" fontId="9" fillId="5" borderId="3" xfId="5"/>
    <xf numFmtId="0" fontId="25" fillId="4" borderId="1" xfId="4" applyFont="1" applyAlignment="1">
      <alignment vertical="center"/>
    </xf>
    <xf numFmtId="0" fontId="12" fillId="11" borderId="12" xfId="13" applyFont="1" applyBorder="1"/>
    <xf numFmtId="0" fontId="0" fillId="0" borderId="77" xfId="0" applyBorder="1"/>
    <xf numFmtId="0" fontId="0" fillId="6" borderId="6" xfId="7" applyFont="1" applyBorder="1"/>
    <xf numFmtId="0" fontId="0" fillId="21" borderId="0" xfId="0" applyFill="1" applyAlignment="1">
      <alignment horizontal="center"/>
    </xf>
    <xf numFmtId="0" fontId="14" fillId="21" borderId="31" xfId="0" applyFont="1" applyFill="1" applyBorder="1" applyAlignment="1">
      <alignment horizontal="center"/>
    </xf>
    <xf numFmtId="0" fontId="0" fillId="21" borderId="3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5" fillId="4" borderId="1" xfId="4" applyFont="1" applyAlignment="1">
      <alignment horizontal="center" vertical="center"/>
    </xf>
    <xf numFmtId="0" fontId="0" fillId="0" borderId="0" xfId="0" applyAlignment="1">
      <alignment horizontal="center"/>
    </xf>
    <xf numFmtId="0" fontId="3" fillId="7" borderId="42" xfId="9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3" fillId="7" borderId="0" xfId="9" applyAlignment="1">
      <alignment horizontal="center"/>
    </xf>
    <xf numFmtId="0" fontId="11" fillId="0" borderId="0" xfId="8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7" borderId="38" xfId="9" applyFont="1" applyBorder="1" applyAlignment="1">
      <alignment horizontal="center"/>
    </xf>
    <xf numFmtId="0" fontId="3" fillId="7" borderId="39" xfId="9" applyBorder="1" applyAlignment="1">
      <alignment horizontal="center"/>
    </xf>
    <xf numFmtId="0" fontId="3" fillId="7" borderId="40" xfId="9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13" borderId="41" xfId="15" applyBorder="1" applyAlignment="1">
      <alignment horizontal="center"/>
    </xf>
    <xf numFmtId="0" fontId="3" fillId="13" borderId="71" xfId="15" applyBorder="1" applyAlignment="1">
      <alignment horizontal="center"/>
    </xf>
    <xf numFmtId="0" fontId="6" fillId="3" borderId="0" xfId="2" applyBorder="1" applyAlignment="1">
      <alignment horizontal="center"/>
    </xf>
    <xf numFmtId="0" fontId="8" fillId="4" borderId="10" xfId="4" applyBorder="1" applyAlignment="1">
      <alignment horizontal="center"/>
    </xf>
    <xf numFmtId="0" fontId="8" fillId="4" borderId="8" xfId="4" applyBorder="1" applyAlignment="1">
      <alignment horizontal="center"/>
    </xf>
    <xf numFmtId="0" fontId="8" fillId="4" borderId="48" xfId="4" applyBorder="1" applyAlignment="1">
      <alignment horizontal="center"/>
    </xf>
    <xf numFmtId="0" fontId="8" fillId="4" borderId="12" xfId="4" applyBorder="1" applyAlignment="1">
      <alignment horizontal="center"/>
    </xf>
    <xf numFmtId="0" fontId="8" fillId="4" borderId="9" xfId="4" applyBorder="1" applyAlignment="1">
      <alignment horizontal="center"/>
    </xf>
    <xf numFmtId="0" fontId="8" fillId="4" borderId="49" xfId="4" applyBorder="1" applyAlignment="1">
      <alignment horizontal="center"/>
    </xf>
    <xf numFmtId="0" fontId="11" fillId="0" borderId="30" xfId="8" applyBorder="1" applyAlignment="1">
      <alignment horizontal="center"/>
    </xf>
    <xf numFmtId="0" fontId="11" fillId="0" borderId="31" xfId="8" applyBorder="1" applyAlignment="1">
      <alignment horizontal="center"/>
    </xf>
    <xf numFmtId="0" fontId="11" fillId="0" borderId="32" xfId="8" applyBorder="1" applyAlignment="1">
      <alignment horizontal="center"/>
    </xf>
    <xf numFmtId="0" fontId="3" fillId="15" borderId="33" xfId="17" applyBorder="1" applyAlignment="1">
      <alignment horizontal="center"/>
    </xf>
    <xf numFmtId="0" fontId="3" fillId="15" borderId="0" xfId="17" applyBorder="1" applyAlignment="1">
      <alignment horizontal="center"/>
    </xf>
    <xf numFmtId="0" fontId="22" fillId="5" borderId="23" xfId="5" applyFont="1" applyBorder="1" applyAlignment="1">
      <alignment horizontal="center" wrapText="1"/>
    </xf>
    <xf numFmtId="0" fontId="22" fillId="5" borderId="24" xfId="5" applyFont="1" applyBorder="1" applyAlignment="1">
      <alignment horizontal="center" wrapText="1"/>
    </xf>
    <xf numFmtId="0" fontId="22" fillId="5" borderId="26" xfId="5" applyFont="1" applyBorder="1" applyAlignment="1">
      <alignment horizontal="center" wrapText="1"/>
    </xf>
    <xf numFmtId="0" fontId="9" fillId="5" borderId="3" xfId="5" applyAlignment="1">
      <alignment horizontal="center" vertical="center"/>
    </xf>
    <xf numFmtId="0" fontId="5" fillId="2" borderId="5" xfId="1" applyBorder="1" applyAlignment="1">
      <alignment horizontal="center"/>
    </xf>
    <xf numFmtId="0" fontId="22" fillId="16" borderId="16" xfId="0" applyFont="1" applyFill="1" applyBorder="1" applyAlignment="1">
      <alignment horizontal="center" wrapText="1"/>
    </xf>
    <xf numFmtId="0" fontId="22" fillId="16" borderId="19" xfId="0" applyFont="1" applyFill="1" applyBorder="1" applyAlignment="1">
      <alignment horizontal="center" wrapText="1"/>
    </xf>
    <xf numFmtId="0" fontId="22" fillId="16" borderId="22" xfId="0" applyFont="1" applyFill="1" applyBorder="1" applyAlignment="1">
      <alignment horizontal="center" wrapText="1"/>
    </xf>
    <xf numFmtId="0" fontId="19" fillId="16" borderId="17" xfId="0" applyFont="1" applyFill="1" applyBorder="1" applyAlignment="1">
      <alignment horizontal="center" vertical="center" wrapText="1"/>
    </xf>
    <xf numFmtId="0" fontId="19" fillId="16" borderId="7" xfId="0" applyFont="1" applyFill="1" applyBorder="1" applyAlignment="1">
      <alignment horizontal="center" vertical="center" wrapText="1"/>
    </xf>
    <xf numFmtId="0" fontId="19" fillId="16" borderId="18" xfId="0" applyFont="1" applyFill="1" applyBorder="1" applyAlignment="1">
      <alignment horizontal="center" vertical="center" wrapText="1"/>
    </xf>
    <xf numFmtId="0" fontId="19" fillId="16" borderId="20" xfId="0" applyFont="1" applyFill="1" applyBorder="1" applyAlignment="1">
      <alignment horizontal="center" vertical="center" wrapText="1"/>
    </xf>
    <xf numFmtId="0" fontId="19" fillId="16" borderId="6" xfId="0" applyFont="1" applyFill="1" applyBorder="1" applyAlignment="1">
      <alignment horizontal="center" vertical="center" wrapText="1"/>
    </xf>
    <xf numFmtId="0" fontId="19" fillId="16" borderId="21" xfId="0" applyFont="1" applyFill="1" applyBorder="1" applyAlignment="1">
      <alignment horizontal="center" vertical="center" wrapText="1"/>
    </xf>
    <xf numFmtId="0" fontId="3" fillId="9" borderId="0" xfId="11" applyAlignment="1">
      <alignment horizontal="center"/>
    </xf>
    <xf numFmtId="0" fontId="3" fillId="14" borderId="30" xfId="16" applyBorder="1" applyAlignment="1">
      <alignment horizontal="center"/>
    </xf>
    <xf numFmtId="0" fontId="3" fillId="14" borderId="31" xfId="16" applyBorder="1" applyAlignment="1">
      <alignment horizontal="center"/>
    </xf>
    <xf numFmtId="0" fontId="3" fillId="10" borderId="31" xfId="12" applyBorder="1" applyAlignment="1">
      <alignment horizontal="center"/>
    </xf>
    <xf numFmtId="0" fontId="3" fillId="13" borderId="31" xfId="15" applyBorder="1" applyAlignment="1">
      <alignment horizontal="center"/>
    </xf>
    <xf numFmtId="0" fontId="3" fillId="13" borderId="32" xfId="15" applyBorder="1" applyAlignment="1">
      <alignment horizontal="center"/>
    </xf>
    <xf numFmtId="0" fontId="9" fillId="5" borderId="3" xfId="5" applyAlignment="1">
      <alignment horizontal="center" wrapText="1"/>
    </xf>
    <xf numFmtId="0" fontId="6" fillId="3" borderId="0" xfId="2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7" borderId="11" xfId="9" applyFont="1" applyBorder="1" applyAlignment="1">
      <alignment horizontal="center"/>
    </xf>
    <xf numFmtId="0" fontId="2" fillId="7" borderId="0" xfId="9" applyFont="1" applyBorder="1" applyAlignment="1">
      <alignment horizontal="center"/>
    </xf>
    <xf numFmtId="0" fontId="2" fillId="7" borderId="50" xfId="9" applyFont="1" applyBorder="1" applyAlignment="1">
      <alignment horizontal="center"/>
    </xf>
    <xf numFmtId="0" fontId="14" fillId="16" borderId="36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2" fillId="7" borderId="10" xfId="9" applyFont="1" applyBorder="1" applyAlignment="1">
      <alignment horizontal="center"/>
    </xf>
    <xf numFmtId="0" fontId="2" fillId="7" borderId="8" xfId="9" applyFont="1" applyBorder="1" applyAlignment="1">
      <alignment horizontal="center"/>
    </xf>
    <xf numFmtId="0" fontId="2" fillId="7" borderId="48" xfId="9" applyFont="1" applyBorder="1" applyAlignment="1">
      <alignment horizontal="center"/>
    </xf>
    <xf numFmtId="0" fontId="2" fillId="9" borderId="0" xfId="11" applyFont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4" fillId="5" borderId="5" xfId="5" applyFont="1" applyBorder="1" applyAlignment="1">
      <alignment horizontal="center" vertical="center" wrapText="1"/>
    </xf>
    <xf numFmtId="0" fontId="24" fillId="5" borderId="0" xfId="5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3" fillId="15" borderId="76" xfId="17" applyBorder="1" applyAlignment="1">
      <alignment horizontal="center"/>
    </xf>
    <xf numFmtId="0" fontId="3" fillId="15" borderId="64" xfId="17" applyBorder="1" applyAlignment="1">
      <alignment horizontal="center"/>
    </xf>
    <xf numFmtId="0" fontId="19" fillId="16" borderId="47" xfId="0" applyFont="1" applyFill="1" applyBorder="1" applyAlignment="1">
      <alignment horizontal="center" vertical="center" wrapText="1"/>
    </xf>
    <xf numFmtId="0" fontId="19" fillId="16" borderId="46" xfId="0" applyFont="1" applyFill="1" applyBorder="1" applyAlignment="1">
      <alignment horizontal="center" vertical="center" wrapText="1"/>
    </xf>
    <xf numFmtId="0" fontId="9" fillId="5" borderId="66" xfId="5" applyBorder="1" applyAlignment="1">
      <alignment horizontal="center" wrapText="1"/>
    </xf>
    <xf numFmtId="0" fontId="9" fillId="5" borderId="67" xfId="5" applyBorder="1" applyAlignment="1">
      <alignment horizontal="center" wrapText="1"/>
    </xf>
    <xf numFmtId="0" fontId="9" fillId="5" borderId="13" xfId="5" applyBorder="1" applyAlignment="1">
      <alignment horizontal="center" wrapText="1"/>
    </xf>
    <xf numFmtId="0" fontId="9" fillId="5" borderId="66" xfId="5" applyBorder="1" applyAlignment="1">
      <alignment horizontal="center" vertical="center"/>
    </xf>
    <xf numFmtId="0" fontId="9" fillId="5" borderId="67" xfId="5" applyBorder="1" applyAlignment="1">
      <alignment horizontal="center" vertical="center"/>
    </xf>
    <xf numFmtId="0" fontId="9" fillId="5" borderId="13" xfId="5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3" fillId="9" borderId="45" xfId="11" applyBorder="1" applyAlignment="1">
      <alignment horizontal="center"/>
    </xf>
    <xf numFmtId="0" fontId="3" fillId="14" borderId="72" xfId="16" applyBorder="1" applyAlignment="1">
      <alignment horizontal="center"/>
    </xf>
    <xf numFmtId="0" fontId="3" fillId="14" borderId="73" xfId="16" applyBorder="1" applyAlignment="1">
      <alignment horizontal="center"/>
    </xf>
    <xf numFmtId="0" fontId="3" fillId="10" borderId="73" xfId="12" applyBorder="1" applyAlignment="1">
      <alignment horizontal="center"/>
    </xf>
    <xf numFmtId="0" fontId="3" fillId="13" borderId="74" xfId="15" applyBorder="1" applyAlignment="1">
      <alignment horizontal="center"/>
    </xf>
    <xf numFmtId="0" fontId="3" fillId="13" borderId="75" xfId="15" applyBorder="1" applyAlignment="1">
      <alignment horizontal="center"/>
    </xf>
    <xf numFmtId="0" fontId="3" fillId="13" borderId="0" xfId="15" applyAlignment="1">
      <alignment horizontal="center"/>
    </xf>
    <xf numFmtId="0" fontId="3" fillId="15" borderId="0" xfId="17" applyAlignment="1">
      <alignment horizontal="center"/>
    </xf>
    <xf numFmtId="0" fontId="19" fillId="16" borderId="48" xfId="0" applyFont="1" applyFill="1" applyBorder="1" applyAlignment="1">
      <alignment horizontal="center" vertical="center" wrapText="1"/>
    </xf>
    <xf numFmtId="0" fontId="19" fillId="16" borderId="50" xfId="0" applyFont="1" applyFill="1" applyBorder="1" applyAlignment="1">
      <alignment horizontal="center" vertical="center" wrapText="1"/>
    </xf>
    <xf numFmtId="0" fontId="19" fillId="16" borderId="49" xfId="0" applyFont="1" applyFill="1" applyBorder="1" applyAlignment="1">
      <alignment horizontal="center" vertical="center" wrapText="1"/>
    </xf>
    <xf numFmtId="0" fontId="19" fillId="16" borderId="10" xfId="0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 wrapText="1"/>
    </xf>
    <xf numFmtId="0" fontId="19" fillId="16" borderId="38" xfId="0" applyFont="1" applyFill="1" applyBorder="1" applyAlignment="1">
      <alignment horizontal="center" vertical="center" wrapText="1"/>
    </xf>
    <xf numFmtId="0" fontId="3" fillId="7" borderId="8" xfId="9" applyBorder="1" applyAlignment="1">
      <alignment horizontal="center"/>
    </xf>
    <xf numFmtId="0" fontId="3" fillId="7" borderId="48" xfId="9" applyBorder="1" applyAlignment="1">
      <alignment horizontal="center"/>
    </xf>
    <xf numFmtId="0" fontId="3" fillId="14" borderId="0" xfId="16" applyAlignment="1">
      <alignment horizontal="center"/>
    </xf>
    <xf numFmtId="0" fontId="3" fillId="10" borderId="0" xfId="12" applyAlignment="1">
      <alignment horizontal="center"/>
    </xf>
    <xf numFmtId="0" fontId="0" fillId="0" borderId="44" xfId="0" applyBorder="1" applyAlignment="1">
      <alignment horizontal="center"/>
    </xf>
  </cellXfs>
  <cellStyles count="19">
    <cellStyle name="20% — акцент1" xfId="9" builtinId="30"/>
    <cellStyle name="20% — акцент2" xfId="11" builtinId="34"/>
    <cellStyle name="20% — акцент3" xfId="13" builtinId="38"/>
    <cellStyle name="40% — акцент2" xfId="12" builtinId="35"/>
    <cellStyle name="40% — акцент4" xfId="15" builtinId="43"/>
    <cellStyle name="40% — акцент6" xfId="17" builtinId="51"/>
    <cellStyle name="60% — акцент3" xfId="14" builtinId="40"/>
    <cellStyle name="60% — акцент5" xfId="16" builtinId="48"/>
    <cellStyle name="Акцент2" xfId="10" builtinId="33"/>
    <cellStyle name="Акцент3" xfId="18" builtinId="37"/>
    <cellStyle name="Вывод" xfId="3" builtinId="21"/>
    <cellStyle name="Вычисление" xfId="4" builtinId="22"/>
    <cellStyle name="Контрольная ячейка" xfId="5" builtinId="23"/>
    <cellStyle name="Нейтральный" xfId="2" builtinId="28"/>
    <cellStyle name="Обычный" xfId="0" builtinId="0"/>
    <cellStyle name="Пояснение" xfId="8" builtinId="53"/>
    <cellStyle name="Примечание" xfId="7" builtinId="10"/>
    <cellStyle name="Текст предупреждения" xfId="6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0</xdr:row>
      <xdr:rowOff>1</xdr:rowOff>
    </xdr:from>
    <xdr:to>
      <xdr:col>6</xdr:col>
      <xdr:colOff>588420</xdr:colOff>
      <xdr:row>6</xdr:row>
      <xdr:rowOff>2127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AB2D29-A6A2-4547-B9AA-87EB97663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6020" y="1"/>
          <a:ext cx="1800000" cy="1194822"/>
        </a:xfrm>
        <a:prstGeom prst="rect">
          <a:avLst/>
        </a:prstGeom>
      </xdr:spPr>
    </xdr:pic>
    <xdr:clientData/>
  </xdr:twoCellAnchor>
  <xdr:twoCellAnchor>
    <xdr:from>
      <xdr:col>23</xdr:col>
      <xdr:colOff>74446</xdr:colOff>
      <xdr:row>11</xdr:row>
      <xdr:rowOff>101729</xdr:rowOff>
    </xdr:from>
    <xdr:to>
      <xdr:col>24</xdr:col>
      <xdr:colOff>528918</xdr:colOff>
      <xdr:row>16</xdr:row>
      <xdr:rowOff>8965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C1A93C-5240-4C79-9D0D-B695BAFF403C}"/>
            </a:ext>
          </a:extLst>
        </xdr:cNvPr>
        <xdr:cNvSpPr txBox="1"/>
      </xdr:nvSpPr>
      <xdr:spPr>
        <a:xfrm>
          <a:off x="14122140" y="2208435"/>
          <a:ext cx="1064072" cy="902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Это</a:t>
          </a:r>
          <a:r>
            <a:rPr lang="ru-RU" sz="1100" baseline="0"/>
            <a:t> матрица </a:t>
          </a:r>
          <a:r>
            <a:rPr lang="en-US" sz="1100" baseline="0"/>
            <a:t>←</a:t>
          </a:r>
          <a:r>
            <a:rPr lang="ru-RU" sz="1100" baseline="0"/>
            <a:t>4х1 а не 4х2</a:t>
          </a:r>
          <a:br>
            <a:rPr lang="en-US" sz="1100" baseline="0"/>
          </a:br>
          <a:r>
            <a:rPr lang="en-US" sz="1100" baseline="0"/>
            <a:t>(</a:t>
          </a:r>
          <a:r>
            <a:rPr lang="ru-RU" sz="1100" baseline="0"/>
            <a:t>аналогично)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ru-RU" sz="1100"/>
        </a:p>
      </xdr:txBody>
    </xdr:sp>
    <xdr:clientData/>
  </xdr:twoCellAnchor>
  <xdr:twoCellAnchor>
    <xdr:from>
      <xdr:col>21</xdr:col>
      <xdr:colOff>173057</xdr:colOff>
      <xdr:row>3</xdr:row>
      <xdr:rowOff>182411</xdr:rowOff>
    </xdr:from>
    <xdr:to>
      <xdr:col>22</xdr:col>
      <xdr:colOff>577248</xdr:colOff>
      <xdr:row>5</xdr:row>
      <xdr:rowOff>116540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21D7A2-1DCC-4635-9653-D570EC03AA24}"/>
            </a:ext>
          </a:extLst>
        </xdr:cNvPr>
        <xdr:cNvSpPr txBox="1"/>
      </xdr:nvSpPr>
      <xdr:spPr>
        <a:xfrm>
          <a:off x="12831222" y="774082"/>
          <a:ext cx="1013791" cy="328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</a:t>
          </a:r>
          <a:r>
            <a:rPr lang="ru-RU" sz="1100"/>
            <a:t>Рудимент</a:t>
          </a:r>
        </a:p>
      </xdr:txBody>
    </xdr:sp>
    <xdr:clientData/>
  </xdr:twoCellAnchor>
  <xdr:twoCellAnchor>
    <xdr:from>
      <xdr:col>29</xdr:col>
      <xdr:colOff>29619</xdr:colOff>
      <xdr:row>0</xdr:row>
      <xdr:rowOff>12081</xdr:rowOff>
    </xdr:from>
    <xdr:to>
      <xdr:col>36</xdr:col>
      <xdr:colOff>349622</xdr:colOff>
      <xdr:row>1</xdr:row>
      <xdr:rowOff>197223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A14FF2-F928-42B9-B7F0-656943142A2E}"/>
            </a:ext>
          </a:extLst>
        </xdr:cNvPr>
        <xdr:cNvSpPr txBox="1"/>
      </xdr:nvSpPr>
      <xdr:spPr>
        <a:xfrm>
          <a:off x="17349431" y="12081"/>
          <a:ext cx="4587203" cy="373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Q11=q111+q221</a:t>
          </a:r>
          <a:r>
            <a:rPr lang="en-US" sz="1100" baseline="0"/>
            <a:t> = Q21+Q22 =(q211+q212+q213+q214)+(q221+q222)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68582</xdr:colOff>
      <xdr:row>12</xdr:row>
      <xdr:rowOff>45720</xdr:rowOff>
    </xdr:from>
    <xdr:ext cx="1609748" cy="1152000"/>
    <xdr:pic>
      <xdr:nvPicPr>
        <xdr:cNvPr id="2" name="Рисунок 1">
          <a:extLst>
            <a:ext uri="{FF2B5EF4-FFF2-40B4-BE49-F238E27FC236}">
              <a16:creationId xmlns:a16="http://schemas.microsoft.com/office/drawing/2014/main" id="{87C826F8-52B8-4A53-9BD6-587DDBB5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2" y="2415540"/>
          <a:ext cx="1609748" cy="1152000"/>
        </a:xfrm>
        <a:prstGeom prst="rect">
          <a:avLst/>
        </a:prstGeom>
      </xdr:spPr>
    </xdr:pic>
    <xdr:clientData/>
  </xdr:oneCellAnchor>
  <xdr:oneCellAnchor>
    <xdr:from>
      <xdr:col>30</xdr:col>
      <xdr:colOff>342900</xdr:colOff>
      <xdr:row>39</xdr:row>
      <xdr:rowOff>152400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1B30C1-F42E-4243-A8C4-19901710A22E}"/>
            </a:ext>
          </a:extLst>
        </xdr:cNvPr>
        <xdr:cNvSpPr txBox="1"/>
      </xdr:nvSpPr>
      <xdr:spPr>
        <a:xfrm>
          <a:off x="17785080" y="7726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18</xdr:col>
      <xdr:colOff>30480</xdr:colOff>
      <xdr:row>38</xdr:row>
      <xdr:rowOff>15240</xdr:rowOff>
    </xdr:from>
    <xdr:to>
      <xdr:col>24</xdr:col>
      <xdr:colOff>53340</xdr:colOff>
      <xdr:row>39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8D73ED-3B95-40B4-B496-3749B107D833}"/>
            </a:ext>
          </a:extLst>
        </xdr:cNvPr>
        <xdr:cNvSpPr txBox="1"/>
      </xdr:nvSpPr>
      <xdr:spPr>
        <a:xfrm>
          <a:off x="10767060" y="7376160"/>
          <a:ext cx="368046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Q21</a:t>
          </a:r>
          <a:r>
            <a:rPr lang="en-US" sz="1100" baseline="0"/>
            <a:t>=q211=Q31+Q32=(q311+q312+313+q314)+(q321+q322)</a:t>
          </a:r>
          <a:endParaRPr lang="ru-RU" sz="1100"/>
        </a:p>
      </xdr:txBody>
    </xdr:sp>
    <xdr:clientData/>
  </xdr:twoCellAnchor>
  <xdr:twoCellAnchor>
    <xdr:from>
      <xdr:col>22</xdr:col>
      <xdr:colOff>103543</xdr:colOff>
      <xdr:row>4</xdr:row>
      <xdr:rowOff>152848</xdr:rowOff>
    </xdr:from>
    <xdr:to>
      <xdr:col>23</xdr:col>
      <xdr:colOff>545503</xdr:colOff>
      <xdr:row>6</xdr:row>
      <xdr:rowOff>122368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9920B9-DE72-43C1-82FC-887F749C1629}"/>
            </a:ext>
          </a:extLst>
        </xdr:cNvPr>
        <xdr:cNvSpPr txBox="1"/>
      </xdr:nvSpPr>
      <xdr:spPr>
        <a:xfrm>
          <a:off x="13281661" y="941742"/>
          <a:ext cx="1051560" cy="346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Рудимент</a:t>
          </a:r>
          <a:endParaRPr lang="ru-RU">
            <a:effectLst/>
          </a:endParaRPr>
        </a:p>
      </xdr:txBody>
    </xdr:sp>
    <xdr:clientData/>
  </xdr:twoCellAnchor>
  <xdr:twoCellAnchor>
    <xdr:from>
      <xdr:col>30</xdr:col>
      <xdr:colOff>335280</xdr:colOff>
      <xdr:row>0</xdr:row>
      <xdr:rowOff>182880</xdr:rowOff>
    </xdr:from>
    <xdr:to>
      <xdr:col>34</xdr:col>
      <xdr:colOff>30480</xdr:colOff>
      <xdr:row>2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42FB18-C1FB-4681-BF38-29EA01C3BD57}"/>
            </a:ext>
          </a:extLst>
        </xdr:cNvPr>
        <xdr:cNvSpPr txBox="1"/>
      </xdr:nvSpPr>
      <xdr:spPr>
        <a:xfrm>
          <a:off x="17922240" y="182880"/>
          <a:ext cx="21336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Q22</a:t>
          </a:r>
          <a:r>
            <a:rPr lang="en-US" sz="1100" baseline="0"/>
            <a:t>=q221+q222 = Q33=q331</a:t>
          </a:r>
          <a:endParaRPr lang="ru-RU" sz="1100"/>
        </a:p>
      </xdr:txBody>
    </xdr:sp>
    <xdr:clientData/>
  </xdr:twoCellAnchor>
  <xdr:twoCellAnchor>
    <xdr:from>
      <xdr:col>30</xdr:col>
      <xdr:colOff>76200</xdr:colOff>
      <xdr:row>14</xdr:row>
      <xdr:rowOff>7620</xdr:rowOff>
    </xdr:from>
    <xdr:to>
      <xdr:col>35</xdr:col>
      <xdr:colOff>373380</xdr:colOff>
      <xdr:row>15</xdr:row>
      <xdr:rowOff>68580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109E5E-C97D-4616-BB3D-71FE19A6A9AB}"/>
            </a:ext>
          </a:extLst>
        </xdr:cNvPr>
        <xdr:cNvSpPr txBox="1"/>
      </xdr:nvSpPr>
      <xdr:spPr>
        <a:xfrm>
          <a:off x="17663160" y="2727960"/>
          <a:ext cx="33451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Q11=(q111+q112)=Q21+Q22=(q211)+(q221+q222)</a:t>
          </a:r>
          <a:endParaRPr lang="ru-RU" sz="1100"/>
        </a:p>
      </xdr:txBody>
    </xdr:sp>
    <xdr:clientData/>
  </xdr:twoCellAnchor>
  <xdr:twoCellAnchor>
    <xdr:from>
      <xdr:col>24</xdr:col>
      <xdr:colOff>170329</xdr:colOff>
      <xdr:row>14</xdr:row>
      <xdr:rowOff>35860</xdr:rowOff>
    </xdr:from>
    <xdr:to>
      <xdr:col>26</xdr:col>
      <xdr:colOff>15201</xdr:colOff>
      <xdr:row>18</xdr:row>
      <xdr:rowOff>167213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799EC88-5793-43E4-BC59-B9369D4DE31B}"/>
            </a:ext>
          </a:extLst>
        </xdr:cNvPr>
        <xdr:cNvSpPr txBox="1"/>
      </xdr:nvSpPr>
      <xdr:spPr>
        <a:xfrm>
          <a:off x="14567647" y="2734236"/>
          <a:ext cx="1064072" cy="902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Это</a:t>
          </a:r>
          <a:r>
            <a:rPr lang="ru-RU" sz="1100" baseline="0"/>
            <a:t> матрица </a:t>
          </a:r>
          <a:r>
            <a:rPr lang="en-US" sz="1100" baseline="0"/>
            <a:t>←</a:t>
          </a:r>
          <a:r>
            <a:rPr lang="ru-RU" sz="1100" baseline="0"/>
            <a:t>4х1 а не 4х2</a:t>
          </a:r>
          <a:br>
            <a:rPr lang="en-US" sz="1100" baseline="0"/>
          </a:br>
          <a:r>
            <a:rPr lang="en-US" sz="1100" baseline="0"/>
            <a:t>(</a:t>
          </a:r>
          <a:r>
            <a:rPr lang="ru-RU" sz="1100" baseline="0"/>
            <a:t>аналогично)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ru-RU" sz="1100"/>
        </a:p>
      </xdr:txBody>
    </xdr:sp>
    <xdr:clientData/>
  </xdr:twoCellAnchor>
  <xdr:twoCellAnchor>
    <xdr:from>
      <xdr:col>18</xdr:col>
      <xdr:colOff>26894</xdr:colOff>
      <xdr:row>44</xdr:row>
      <xdr:rowOff>179294</xdr:rowOff>
    </xdr:from>
    <xdr:to>
      <xdr:col>18</xdr:col>
      <xdr:colOff>546847</xdr:colOff>
      <xdr:row>46</xdr:row>
      <xdr:rowOff>71718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B2B0C27-495B-4AC0-B6A9-AC1499F7F803}"/>
            </a:ext>
          </a:extLst>
        </xdr:cNvPr>
        <xdr:cNvSpPr txBox="1"/>
      </xdr:nvSpPr>
      <xdr:spPr>
        <a:xfrm>
          <a:off x="10766612" y="8570259"/>
          <a:ext cx="519953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en-US" sz="1100"/>
            <a:t>p11</a:t>
          </a:r>
          <a:endParaRPr lang="ru-RU" sz="1100"/>
        </a:p>
      </xdr:txBody>
    </xdr:sp>
    <xdr:clientData/>
  </xdr:twoCellAnchor>
  <xdr:twoCellAnchor>
    <xdr:from>
      <xdr:col>29</xdr:col>
      <xdr:colOff>340658</xdr:colOff>
      <xdr:row>8</xdr:row>
      <xdr:rowOff>80683</xdr:rowOff>
    </xdr:from>
    <xdr:to>
      <xdr:col>30</xdr:col>
      <xdr:colOff>251011</xdr:colOff>
      <xdr:row>9</xdr:row>
      <xdr:rowOff>179295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1202563-BDD1-4883-AEF7-796E1BA433AF}"/>
            </a:ext>
          </a:extLst>
        </xdr:cNvPr>
        <xdr:cNvSpPr txBox="1"/>
      </xdr:nvSpPr>
      <xdr:spPr>
        <a:xfrm>
          <a:off x="17319811" y="1640542"/>
          <a:ext cx="519953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en-US" sz="1100"/>
            <a:t>p11</a:t>
          </a:r>
          <a:endParaRPr lang="ru-RU" sz="1100"/>
        </a:p>
      </xdr:txBody>
    </xdr:sp>
    <xdr:clientData/>
  </xdr:twoCellAnchor>
  <xdr:twoCellAnchor>
    <xdr:from>
      <xdr:col>18</xdr:col>
      <xdr:colOff>26894</xdr:colOff>
      <xdr:row>34</xdr:row>
      <xdr:rowOff>152400</xdr:rowOff>
    </xdr:from>
    <xdr:to>
      <xdr:col>18</xdr:col>
      <xdr:colOff>546847</xdr:colOff>
      <xdr:row>36</xdr:row>
      <xdr:rowOff>44823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FAE351E-FB66-4BC0-B589-7E00A0587ED9}"/>
            </a:ext>
          </a:extLst>
        </xdr:cNvPr>
        <xdr:cNvSpPr txBox="1"/>
      </xdr:nvSpPr>
      <xdr:spPr>
        <a:xfrm>
          <a:off x="10766612" y="6696635"/>
          <a:ext cx="519953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en-US" sz="1100"/>
            <a:t>p22</a:t>
          </a:r>
          <a:endParaRPr lang="ru-RU" sz="1100"/>
        </a:p>
      </xdr:txBody>
    </xdr:sp>
    <xdr:clientData/>
  </xdr:twoCellAnchor>
  <xdr:twoCellAnchor>
    <xdr:from>
      <xdr:col>17</xdr:col>
      <xdr:colOff>331694</xdr:colOff>
      <xdr:row>28</xdr:row>
      <xdr:rowOff>80683</xdr:rowOff>
    </xdr:from>
    <xdr:to>
      <xdr:col>18</xdr:col>
      <xdr:colOff>242047</xdr:colOff>
      <xdr:row>29</xdr:row>
      <xdr:rowOff>179295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644977B-33BC-47DC-95DE-B5A396B98F93}"/>
            </a:ext>
          </a:extLst>
        </xdr:cNvPr>
        <xdr:cNvSpPr txBox="1"/>
      </xdr:nvSpPr>
      <xdr:spPr>
        <a:xfrm>
          <a:off x="10461812" y="5495365"/>
          <a:ext cx="519953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en-US" sz="1100"/>
            <a:t>p21</a:t>
          </a:r>
          <a:endParaRPr lang="ru-RU" sz="1100"/>
        </a:p>
      </xdr:txBody>
    </xdr:sp>
    <xdr:clientData/>
  </xdr:twoCellAnchor>
  <xdr:twoCellAnchor>
    <xdr:from>
      <xdr:col>17</xdr:col>
      <xdr:colOff>376518</xdr:colOff>
      <xdr:row>18</xdr:row>
      <xdr:rowOff>116542</xdr:rowOff>
    </xdr:from>
    <xdr:to>
      <xdr:col>18</xdr:col>
      <xdr:colOff>286871</xdr:colOff>
      <xdr:row>20</xdr:row>
      <xdr:rowOff>17930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465E5D3-F666-4C50-AAB0-B0044B960E6C}"/>
            </a:ext>
          </a:extLst>
        </xdr:cNvPr>
        <xdr:cNvSpPr txBox="1"/>
      </xdr:nvSpPr>
      <xdr:spPr>
        <a:xfrm>
          <a:off x="10506636" y="3585883"/>
          <a:ext cx="519953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en-US" sz="1100"/>
            <a:t>p21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68582</xdr:colOff>
      <xdr:row>12</xdr:row>
      <xdr:rowOff>45720</xdr:rowOff>
    </xdr:from>
    <xdr:to>
      <xdr:col>6</xdr:col>
      <xdr:colOff>459130</xdr:colOff>
      <xdr:row>18</xdr:row>
      <xdr:rowOff>39480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B5A33D3-E97D-42AC-B841-644974332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2" y="2377440"/>
          <a:ext cx="1609748" cy="1152000"/>
        </a:xfrm>
        <a:prstGeom prst="rect">
          <a:avLst/>
        </a:prstGeom>
      </xdr:spPr>
    </xdr:pic>
    <xdr:clientData/>
  </xdr:twoCellAnchor>
  <xdr:oneCellAnchor>
    <xdr:from>
      <xdr:col>30</xdr:col>
      <xdr:colOff>342900</xdr:colOff>
      <xdr:row>39</xdr:row>
      <xdr:rowOff>152400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0F320D-C04B-4FCE-8192-2B435E850955}"/>
            </a:ext>
          </a:extLst>
        </xdr:cNvPr>
        <xdr:cNvSpPr txBox="1"/>
      </xdr:nvSpPr>
      <xdr:spPr>
        <a:xfrm>
          <a:off x="17785080" y="7703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20</xdr:col>
      <xdr:colOff>182880</xdr:colOff>
      <xdr:row>39</xdr:row>
      <xdr:rowOff>0</xdr:rowOff>
    </xdr:from>
    <xdr:to>
      <xdr:col>23</xdr:col>
      <xdr:colOff>129540</xdr:colOff>
      <xdr:row>42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48367D6-6557-4D89-9FD3-5489CD701EAC}"/>
            </a:ext>
          </a:extLst>
        </xdr:cNvPr>
        <xdr:cNvSpPr txBox="1"/>
      </xdr:nvSpPr>
      <xdr:spPr>
        <a:xfrm>
          <a:off x="11993880" y="7551420"/>
          <a:ext cx="177546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Че тут происходит?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F1C0-2EC3-41B7-B482-544D2F1A2E81}">
  <dimension ref="A1:AG31"/>
  <sheetViews>
    <sheetView topLeftCell="K1" zoomScale="85" zoomScaleNormal="85" workbookViewId="0">
      <selection activeCell="Y26" sqref="Y26"/>
    </sheetView>
  </sheetViews>
  <sheetFormatPr defaultRowHeight="14.4" x14ac:dyDescent="0.3"/>
  <cols>
    <col min="8" max="8" width="11" customWidth="1"/>
    <col min="11" max="11" width="11.33203125" bestFit="1" customWidth="1"/>
    <col min="13" max="13" width="11.5546875" bestFit="1" customWidth="1"/>
    <col min="14" max="14" width="3.77734375" customWidth="1"/>
    <col min="16" max="16" width="7.21875" customWidth="1"/>
    <col min="26" max="26" width="3.21875" customWidth="1"/>
  </cols>
  <sheetData>
    <row r="1" spans="1:32" ht="15" thickBot="1" x14ac:dyDescent="0.35">
      <c r="A1" s="146" t="s">
        <v>0</v>
      </c>
      <c r="B1" s="146"/>
      <c r="C1" s="146"/>
      <c r="D1" s="146"/>
      <c r="H1" s="147" t="s">
        <v>11</v>
      </c>
      <c r="I1" s="148"/>
      <c r="J1" s="149" t="s">
        <v>20</v>
      </c>
      <c r="K1" s="149"/>
      <c r="L1" s="150" t="s">
        <v>24</v>
      </c>
      <c r="M1" s="151"/>
      <c r="N1" s="35"/>
      <c r="O1" s="118" t="s">
        <v>24</v>
      </c>
      <c r="P1" s="119"/>
      <c r="Q1" s="120" t="s">
        <v>50</v>
      </c>
      <c r="R1" s="120"/>
      <c r="S1" s="120"/>
      <c r="T1" s="120"/>
      <c r="U1" s="120"/>
      <c r="V1" s="1"/>
      <c r="Z1" s="37"/>
      <c r="AA1" s="9" t="s">
        <v>52</v>
      </c>
      <c r="AB1" s="9">
        <f>SUM(P17:P20)</f>
        <v>14908</v>
      </c>
      <c r="AC1" s="9">
        <f>SUM(Q17:Q20)</f>
        <v>-3.2</v>
      </c>
    </row>
    <row r="2" spans="1:32" ht="17.399999999999999" thickTop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H2" s="88" t="s">
        <v>12</v>
      </c>
      <c r="I2" s="82">
        <f>AB28</f>
        <v>8502.1520467836235</v>
      </c>
      <c r="J2" s="81" t="s">
        <v>21</v>
      </c>
      <c r="K2" s="83">
        <f>SUM(AB7:AD7)</f>
        <v>2767.3186889818689</v>
      </c>
      <c r="L2" s="46" t="s">
        <v>29</v>
      </c>
      <c r="M2" s="89">
        <f>I2*(K2-B9)</f>
        <v>10774936.185454335</v>
      </c>
      <c r="N2" s="35"/>
      <c r="O2" s="11" t="s">
        <v>29</v>
      </c>
      <c r="P2" s="121"/>
      <c r="Q2" s="122"/>
      <c r="R2" s="122"/>
      <c r="S2" s="122"/>
      <c r="T2" s="122"/>
      <c r="U2" s="123"/>
      <c r="Z2" s="37"/>
      <c r="AA2" s="40" t="s">
        <v>53</v>
      </c>
      <c r="AB2" s="40">
        <f>SUM(P27:P28)</f>
        <v>20628.070175438595</v>
      </c>
      <c r="AC2" s="40">
        <f>SUM(Q27:Q28)</f>
        <v>-3.5087719298245612</v>
      </c>
    </row>
    <row r="3" spans="1:32" ht="14.4" customHeight="1" thickTop="1" thickBot="1" x14ac:dyDescent="0.35">
      <c r="A3" s="152" t="s">
        <v>5</v>
      </c>
      <c r="B3" s="135">
        <v>2</v>
      </c>
      <c r="C3" s="135">
        <v>4</v>
      </c>
      <c r="D3" s="135">
        <v>2</v>
      </c>
      <c r="H3" s="88" t="s">
        <v>13</v>
      </c>
      <c r="I3" s="82">
        <f>AB29</f>
        <v>8468.6081871345032</v>
      </c>
      <c r="J3" s="81" t="s">
        <v>22</v>
      </c>
      <c r="K3" s="84">
        <f>C14-D14*I13</f>
        <v>3486.8549511854953</v>
      </c>
      <c r="L3" s="47" t="s">
        <v>30</v>
      </c>
      <c r="M3" s="89">
        <f>I3*(K2-B11)</f>
        <v>10690082.384284748</v>
      </c>
      <c r="N3" s="35"/>
      <c r="O3" s="11" t="s">
        <v>30</v>
      </c>
      <c r="P3" s="124"/>
      <c r="Q3" s="125"/>
      <c r="R3" s="125"/>
      <c r="S3" s="125"/>
      <c r="T3" s="125"/>
      <c r="U3" s="126"/>
      <c r="Z3" s="37"/>
      <c r="AA3" s="41" t="s">
        <v>54</v>
      </c>
      <c r="AB3" s="41">
        <f>SUM(AB1:AB2)</f>
        <v>35536.070175438595</v>
      </c>
      <c r="AC3" s="41">
        <f>SUM(AC1:AC2)</f>
        <v>-6.7087719298245609</v>
      </c>
    </row>
    <row r="4" spans="1:32" ht="15.6" thickTop="1" thickBot="1" x14ac:dyDescent="0.35">
      <c r="A4" s="152"/>
      <c r="B4" s="135"/>
      <c r="C4" s="135"/>
      <c r="D4" s="135"/>
      <c r="H4" s="88" t="s">
        <v>14</v>
      </c>
      <c r="I4" s="82">
        <f>P17-ABS(Q17*$K$2)</f>
        <v>1510.1450488145028</v>
      </c>
      <c r="J4" s="81" t="s">
        <v>23</v>
      </c>
      <c r="K4" s="84">
        <f>C15-D15*I14</f>
        <v>3925.5457926545796</v>
      </c>
      <c r="L4" s="48" t="s">
        <v>31</v>
      </c>
      <c r="M4" s="89">
        <f>I4*($C$14-$D$14*$I$13-$K$2-C9)</f>
        <v>570134.51711474033</v>
      </c>
      <c r="N4" s="37"/>
      <c r="O4" s="12" t="s">
        <v>31</v>
      </c>
      <c r="P4" s="12">
        <f>I4</f>
        <v>1510.1450488145028</v>
      </c>
      <c r="Q4" s="12">
        <f>C14</f>
        <v>5000</v>
      </c>
      <c r="R4" s="12">
        <f>-D14</f>
        <v>-0.25</v>
      </c>
      <c r="S4" s="12">
        <f>SUM(I4:I7)</f>
        <v>6052.5801952580186</v>
      </c>
      <c r="T4" s="12">
        <f>-$B$28</f>
        <v>-1</v>
      </c>
      <c r="U4" s="12">
        <f>-C9</f>
        <v>-342</v>
      </c>
      <c r="Z4" s="37"/>
    </row>
    <row r="5" spans="1:32" ht="15.6" thickTop="1" thickBot="1" x14ac:dyDescent="0.35">
      <c r="A5" s="152"/>
      <c r="B5" s="135"/>
      <c r="C5" s="135"/>
      <c r="D5" s="135"/>
      <c r="H5" s="88" t="s">
        <v>15</v>
      </c>
      <c r="I5" s="82">
        <f>P18-ABS(Q18*$K$2)</f>
        <v>1518.145048814506</v>
      </c>
      <c r="J5" s="68"/>
      <c r="K5" s="68"/>
      <c r="L5" s="48" t="s">
        <v>32</v>
      </c>
      <c r="M5" s="89">
        <f>I5*($C$14-$D$14*$I$13-$K$2-C10)</f>
        <v>576191.09730999952</v>
      </c>
      <c r="N5" s="37"/>
      <c r="O5" s="12" t="s">
        <v>32</v>
      </c>
      <c r="P5" s="12">
        <f>I5</f>
        <v>1518.145048814506</v>
      </c>
      <c r="Q5" s="12">
        <f>C14</f>
        <v>5000</v>
      </c>
      <c r="R5" s="12">
        <f>-D14</f>
        <v>-0.25</v>
      </c>
      <c r="S5" s="12">
        <f>SUM(I4:I7)</f>
        <v>6052.5801952580186</v>
      </c>
      <c r="T5" s="12">
        <f t="shared" ref="T5:T7" si="0">-$B$28</f>
        <v>-1</v>
      </c>
      <c r="U5" s="12">
        <f t="shared" ref="U5:U7" si="1">-C10</f>
        <v>-340</v>
      </c>
      <c r="Z5" s="37"/>
      <c r="AA5" s="107" t="s">
        <v>55</v>
      </c>
      <c r="AB5" s="107"/>
      <c r="AC5" s="107"/>
      <c r="AD5" s="107"/>
    </row>
    <row r="6" spans="1:32" ht="15.6" thickTop="1" thickBot="1" x14ac:dyDescent="0.35">
      <c r="A6" s="152"/>
      <c r="B6" s="135"/>
      <c r="C6" s="135"/>
      <c r="D6" s="135"/>
      <c r="H6" s="88" t="s">
        <v>16</v>
      </c>
      <c r="I6" s="82">
        <f>P19-ABS(Q19*$K$2)</f>
        <v>1526.1450488145051</v>
      </c>
      <c r="J6" s="68"/>
      <c r="K6" s="68"/>
      <c r="L6" s="48" t="s">
        <v>33</v>
      </c>
      <c r="M6" s="89">
        <f>I6*($C$14-$D$14*$I$13-$K$2-C11)</f>
        <v>582279.67750525719</v>
      </c>
      <c r="N6" s="37"/>
      <c r="O6" s="12" t="s">
        <v>33</v>
      </c>
      <c r="P6" s="12">
        <f t="shared" ref="P6" si="2">I6</f>
        <v>1526.1450488145051</v>
      </c>
      <c r="Q6" s="12">
        <f>C14</f>
        <v>5000</v>
      </c>
      <c r="R6" s="12">
        <f>-D14</f>
        <v>-0.25</v>
      </c>
      <c r="S6" s="12">
        <f>SUM(I4:I7)</f>
        <v>6052.5801952580186</v>
      </c>
      <c r="T6" s="12">
        <f t="shared" si="0"/>
        <v>-1</v>
      </c>
      <c r="U6" s="12">
        <f t="shared" si="1"/>
        <v>-338</v>
      </c>
      <c r="Z6" s="37"/>
      <c r="AA6" s="108" t="s">
        <v>57</v>
      </c>
      <c r="AB6" s="108"/>
      <c r="AC6" s="108"/>
      <c r="AD6" s="108"/>
    </row>
    <row r="7" spans="1:32" ht="15" thickTop="1" x14ac:dyDescent="0.3">
      <c r="A7" s="136" t="s">
        <v>6</v>
      </c>
      <c r="B7" s="136"/>
      <c r="C7" s="136"/>
      <c r="D7" s="136"/>
      <c r="H7" s="88" t="s">
        <v>17</v>
      </c>
      <c r="I7" s="82">
        <f>P20-ABS(Q20*$K$2)</f>
        <v>1498.1450488145051</v>
      </c>
      <c r="J7" s="68"/>
      <c r="K7" s="68"/>
      <c r="L7" s="48" t="s">
        <v>34</v>
      </c>
      <c r="M7" s="89">
        <f>I7*($C$14-$D$14*$I$13-$K$2-C12)</f>
        <v>561109.64682185417</v>
      </c>
      <c r="N7" s="37"/>
      <c r="O7" s="12" t="s">
        <v>34</v>
      </c>
      <c r="P7" s="12">
        <f>I7</f>
        <v>1498.1450488145051</v>
      </c>
      <c r="Q7" s="12">
        <f>C14</f>
        <v>5000</v>
      </c>
      <c r="R7" s="12">
        <f>-D14</f>
        <v>-0.25</v>
      </c>
      <c r="S7" s="12">
        <f>SUM(I4:I7)</f>
        <v>6052.5801952580186</v>
      </c>
      <c r="T7" s="12">
        <f t="shared" si="0"/>
        <v>-1</v>
      </c>
      <c r="U7" s="12">
        <f t="shared" si="1"/>
        <v>-345</v>
      </c>
      <c r="Z7" s="37"/>
      <c r="AA7" s="6" t="s">
        <v>56</v>
      </c>
      <c r="AB7" s="42">
        <f>I2/$AC$3</f>
        <v>-1267.3186889818687</v>
      </c>
      <c r="AC7" s="42">
        <f>I3/$AC$3</f>
        <v>-1262.3186889818689</v>
      </c>
      <c r="AD7" s="43">
        <f>(-AB3)/AC3</f>
        <v>5296.9560669456068</v>
      </c>
    </row>
    <row r="8" spans="1:32" ht="15.6" thickBot="1" x14ac:dyDescent="0.4">
      <c r="A8" s="4"/>
      <c r="B8" s="18" t="s">
        <v>7</v>
      </c>
      <c r="C8" s="18" t="s">
        <v>8</v>
      </c>
      <c r="D8" s="18" t="s">
        <v>9</v>
      </c>
      <c r="H8" s="88" t="s">
        <v>18</v>
      </c>
      <c r="I8" s="82">
        <f>P27-ABS(Q27*$K$2)</f>
        <v>5464.3531772247907</v>
      </c>
      <c r="J8" s="68"/>
      <c r="K8" s="68"/>
      <c r="L8" s="49" t="s">
        <v>35</v>
      </c>
      <c r="M8" s="89">
        <f>I8*(C15-D15*I14-K2-D9)</f>
        <v>5673239.5726348683</v>
      </c>
      <c r="N8" s="37"/>
      <c r="O8" s="13" t="s">
        <v>35</v>
      </c>
      <c r="P8" s="6">
        <f>I8</f>
        <v>5464.3531772247907</v>
      </c>
      <c r="Q8" s="6">
        <f>C15</f>
        <v>6000</v>
      </c>
      <c r="R8" s="6">
        <f>-D15</f>
        <v>-0.19</v>
      </c>
      <c r="S8" s="6">
        <f>SUM(I8:I9)</f>
        <v>10918.180038660108</v>
      </c>
      <c r="T8" s="6">
        <f>-$B$28</f>
        <v>-1</v>
      </c>
      <c r="U8" s="6">
        <f>-D9</f>
        <v>-120</v>
      </c>
      <c r="V8" s="1"/>
      <c r="Z8" s="37"/>
    </row>
    <row r="9" spans="1:32" ht="14.4" customHeight="1" x14ac:dyDescent="0.3">
      <c r="A9" s="137" t="s">
        <v>10</v>
      </c>
      <c r="B9" s="140">
        <v>1500</v>
      </c>
      <c r="C9" s="19">
        <v>342</v>
      </c>
      <c r="D9" s="142">
        <v>120</v>
      </c>
      <c r="H9" s="88" t="s">
        <v>19</v>
      </c>
      <c r="I9" s="82">
        <f>P28-ABS(Q28*$K$2)</f>
        <v>5453.8268614353174</v>
      </c>
      <c r="J9" s="68"/>
      <c r="K9" s="68"/>
      <c r="L9" s="49" t="s">
        <v>36</v>
      </c>
      <c r="M9" s="89">
        <f>I9*(C15-D15*I14-K2-D11)</f>
        <v>5651403.2125575487</v>
      </c>
      <c r="N9" s="37"/>
      <c r="O9" s="13" t="s">
        <v>36</v>
      </c>
      <c r="P9" s="6">
        <f>I9</f>
        <v>5453.8268614353174</v>
      </c>
      <c r="Q9" s="6">
        <f>C15</f>
        <v>6000</v>
      </c>
      <c r="R9" s="6">
        <f>-D15</f>
        <v>-0.19</v>
      </c>
      <c r="S9" s="6">
        <f>SUM(I8:I9)</f>
        <v>10918.180038660108</v>
      </c>
      <c r="T9" s="6">
        <f>-$B$28</f>
        <v>-1</v>
      </c>
      <c r="U9" s="6">
        <f>-D11</f>
        <v>-122</v>
      </c>
      <c r="V9" s="1"/>
      <c r="Z9" s="37"/>
    </row>
    <row r="10" spans="1:32" x14ac:dyDescent="0.3">
      <c r="A10" s="138"/>
      <c r="B10" s="141"/>
      <c r="C10" s="5">
        <v>340</v>
      </c>
      <c r="D10" s="143"/>
      <c r="H10" s="67"/>
      <c r="I10" s="68"/>
      <c r="J10" s="68"/>
      <c r="K10" s="68"/>
      <c r="L10" s="85" t="s">
        <v>64</v>
      </c>
      <c r="M10" s="90">
        <f>SUM(M2:M9)</f>
        <v>35079376.29368335</v>
      </c>
      <c r="N10" s="37"/>
      <c r="O10" s="113" t="s">
        <v>112</v>
      </c>
      <c r="P10" s="114"/>
      <c r="Q10" s="114"/>
      <c r="R10" s="114"/>
      <c r="S10" s="114"/>
      <c r="T10" s="114"/>
      <c r="U10" s="114"/>
      <c r="V10" s="115"/>
      <c r="Z10" s="37"/>
      <c r="AA10" s="109" t="s">
        <v>58</v>
      </c>
      <c r="AB10" s="109"/>
      <c r="AC10" s="109"/>
      <c r="AD10" s="109"/>
    </row>
    <row r="11" spans="1:32" x14ac:dyDescent="0.3">
      <c r="A11" s="138"/>
      <c r="B11" s="144">
        <v>1505</v>
      </c>
      <c r="C11" s="5">
        <v>338</v>
      </c>
      <c r="D11" s="145">
        <v>122</v>
      </c>
      <c r="H11" s="130" t="s">
        <v>25</v>
      </c>
      <c r="I11" s="131"/>
      <c r="J11" s="68"/>
      <c r="K11" s="68"/>
      <c r="L11" s="86"/>
      <c r="M11" s="69"/>
      <c r="N11" s="37"/>
      <c r="O11" s="33">
        <f t="array" ref="O11:R14">D14*A19:D22</f>
        <v>0.5</v>
      </c>
      <c r="P11" s="33">
        <v>0.25</v>
      </c>
      <c r="Q11" s="36">
        <v>0.25</v>
      </c>
      <c r="R11" s="33">
        <v>0.25</v>
      </c>
      <c r="S11" s="116" t="s">
        <v>47</v>
      </c>
      <c r="T11" s="33">
        <f>I4</f>
        <v>1510.1450488145028</v>
      </c>
      <c r="U11" s="117" t="s">
        <v>51</v>
      </c>
      <c r="V11" s="36">
        <f>$C$14-C9</f>
        <v>4658</v>
      </c>
      <c r="W11" s="33">
        <f>-$B$28</f>
        <v>-1</v>
      </c>
      <c r="Z11" s="37"/>
      <c r="AA11" s="10" t="s">
        <v>29</v>
      </c>
      <c r="AB11" s="33">
        <f>I2</f>
        <v>8502.1520467836235</v>
      </c>
      <c r="AC11" s="33">
        <f>AD7</f>
        <v>5296.9560669456068</v>
      </c>
      <c r="AD11" s="33">
        <f>AB7</f>
        <v>-1267.3186889818687</v>
      </c>
      <c r="AE11" s="33">
        <f>AC7</f>
        <v>-1262.3186889818689</v>
      </c>
      <c r="AF11" s="33">
        <f>B9</f>
        <v>1500</v>
      </c>
    </row>
    <row r="12" spans="1:32" ht="17.399999999999999" customHeight="1" thickBot="1" x14ac:dyDescent="0.35">
      <c r="A12" s="139"/>
      <c r="B12" s="144"/>
      <c r="C12" s="5">
        <v>345</v>
      </c>
      <c r="D12" s="145"/>
      <c r="H12" s="91" t="s">
        <v>26</v>
      </c>
      <c r="I12" s="87">
        <f>SUM(I2:I3)</f>
        <v>16970.760233918125</v>
      </c>
      <c r="J12" s="68"/>
      <c r="K12" s="68"/>
      <c r="L12" s="86"/>
      <c r="M12" s="69"/>
      <c r="N12" s="37"/>
      <c r="O12" s="36">
        <v>0.25</v>
      </c>
      <c r="P12" s="36">
        <v>0.5</v>
      </c>
      <c r="Q12" s="36">
        <v>0.25</v>
      </c>
      <c r="R12" s="36">
        <v>0.25</v>
      </c>
      <c r="S12" s="102"/>
      <c r="T12" s="33">
        <f t="shared" ref="T12:T14" si="3">I5</f>
        <v>1518.145048814506</v>
      </c>
      <c r="U12" s="111"/>
      <c r="V12" s="36">
        <f t="shared" ref="V12:V14" si="4">$C$14-C10</f>
        <v>4660</v>
      </c>
      <c r="W12" s="33">
        <f>-$B$28</f>
        <v>-1</v>
      </c>
      <c r="Z12" s="37"/>
      <c r="AC12" s="106" t="s">
        <v>42</v>
      </c>
      <c r="AD12" s="106"/>
    </row>
    <row r="13" spans="1:32" ht="15.6" customHeight="1" thickTop="1" x14ac:dyDescent="0.3">
      <c r="A13" s="132" t="s">
        <v>37</v>
      </c>
      <c r="B13" s="25"/>
      <c r="C13" s="17" t="s">
        <v>38</v>
      </c>
      <c r="D13" s="20" t="s">
        <v>39</v>
      </c>
      <c r="H13" s="91" t="s">
        <v>27</v>
      </c>
      <c r="I13" s="87">
        <f>SUM(I4:I7)</f>
        <v>6052.5801952580186</v>
      </c>
      <c r="J13" s="68"/>
      <c r="K13" s="68"/>
      <c r="L13" s="86"/>
      <c r="M13" s="69"/>
      <c r="N13" s="37"/>
      <c r="O13" s="33">
        <v>0.25</v>
      </c>
      <c r="P13" s="33">
        <v>0.25</v>
      </c>
      <c r="Q13" s="36">
        <v>0.5</v>
      </c>
      <c r="R13" s="33">
        <v>0.25</v>
      </c>
      <c r="S13" s="102"/>
      <c r="T13" s="33">
        <f t="shared" si="3"/>
        <v>1526.1450488145051</v>
      </c>
      <c r="U13" s="111"/>
      <c r="V13" s="36">
        <f t="shared" si="4"/>
        <v>4662</v>
      </c>
      <c r="W13" s="33">
        <f>-$B$28</f>
        <v>-1</v>
      </c>
      <c r="Z13" s="37"/>
      <c r="AA13" s="10" t="s">
        <v>29</v>
      </c>
      <c r="AB13" s="8"/>
      <c r="AC13" s="8">
        <f>AC11-AF11</f>
        <v>3796.9560669456068</v>
      </c>
      <c r="AD13" s="8">
        <f>AB7*2</f>
        <v>-2534.6373779637374</v>
      </c>
      <c r="AE13" s="8">
        <f>AC7</f>
        <v>-1262.3186889818689</v>
      </c>
    </row>
    <row r="14" spans="1:32" ht="15" thickBot="1" x14ac:dyDescent="0.35">
      <c r="A14" s="133"/>
      <c r="B14" s="15">
        <v>1</v>
      </c>
      <c r="C14" s="16">
        <v>5000</v>
      </c>
      <c r="D14" s="21">
        <v>0.25</v>
      </c>
      <c r="H14" s="92" t="s">
        <v>28</v>
      </c>
      <c r="I14" s="22">
        <f>SUM(I8:I9)</f>
        <v>10918.180038660108</v>
      </c>
      <c r="J14" s="71"/>
      <c r="K14" s="71"/>
      <c r="L14" s="93"/>
      <c r="M14" s="72"/>
      <c r="N14" s="37"/>
      <c r="O14" s="33">
        <v>0.25</v>
      </c>
      <c r="P14" s="33">
        <v>0.25</v>
      </c>
      <c r="Q14" s="36">
        <v>0.25</v>
      </c>
      <c r="R14" s="33">
        <v>0.5</v>
      </c>
      <c r="S14" s="102"/>
      <c r="T14" s="33">
        <f t="shared" si="3"/>
        <v>1498.1450488145051</v>
      </c>
      <c r="U14" s="111"/>
      <c r="V14" s="36">
        <f t="shared" si="4"/>
        <v>4655</v>
      </c>
      <c r="W14" s="33">
        <f>-$B$28</f>
        <v>-1</v>
      </c>
      <c r="Z14" s="37"/>
    </row>
    <row r="15" spans="1:32" ht="15.6" thickTop="1" thickBot="1" x14ac:dyDescent="0.35">
      <c r="A15" s="134"/>
      <c r="B15" s="22">
        <v>2</v>
      </c>
      <c r="C15" s="23">
        <v>6000</v>
      </c>
      <c r="D15" s="24">
        <v>0.19</v>
      </c>
      <c r="J15" s="100" t="s">
        <v>110</v>
      </c>
      <c r="K15" s="101"/>
      <c r="N15" s="37"/>
      <c r="Q15" s="1"/>
      <c r="S15" s="103" t="s">
        <v>42</v>
      </c>
      <c r="Z15" s="37"/>
      <c r="AA15" s="10" t="s">
        <v>30</v>
      </c>
      <c r="AB15" s="33">
        <f>I3</f>
        <v>8468.6081871345032</v>
      </c>
      <c r="AC15" s="33">
        <f>AD7</f>
        <v>5296.9560669456068</v>
      </c>
      <c r="AD15" s="33">
        <f>AB7</f>
        <v>-1267.3186889818687</v>
      </c>
      <c r="AE15" s="33">
        <f>AC7</f>
        <v>-1262.3186889818689</v>
      </c>
      <c r="AF15" s="33">
        <f>B11</f>
        <v>1505</v>
      </c>
    </row>
    <row r="16" spans="1:32" ht="15" thickBot="1" x14ac:dyDescent="0.35">
      <c r="I16" s="99" t="s">
        <v>109</v>
      </c>
      <c r="J16" s="99"/>
      <c r="K16" s="99"/>
      <c r="L16" s="99"/>
      <c r="N16" s="37"/>
      <c r="Q16" s="1"/>
      <c r="S16" s="104"/>
      <c r="Z16" s="37"/>
      <c r="AC16" s="106" t="s">
        <v>42</v>
      </c>
      <c r="AD16" s="106"/>
    </row>
    <row r="17" spans="1:33" ht="15.6" thickTop="1" thickBot="1" x14ac:dyDescent="0.35">
      <c r="N17" s="37"/>
      <c r="O17" s="2" t="s">
        <v>43</v>
      </c>
      <c r="P17" s="39">
        <f t="array" ref="P17:P20">MMULT(S17:V20,X17:X20)</f>
        <v>3723.9999999999964</v>
      </c>
      <c r="Q17" s="39">
        <f t="array" ref="Q17:Q20">MMULT(S17:V20,Y17:Y20)</f>
        <v>-0.79999999999999938</v>
      </c>
      <c r="R17" s="112" t="s">
        <v>51</v>
      </c>
      <c r="S17" s="33">
        <f t="array" ref="S17:V20">MINVERSE(O11:R14)</f>
        <v>3.1999999999999997</v>
      </c>
      <c r="T17" s="33">
        <v>-0.80000000000000027</v>
      </c>
      <c r="U17" s="33">
        <v>-0.8</v>
      </c>
      <c r="V17" s="36">
        <v>-0.8</v>
      </c>
      <c r="W17" s="111" t="s">
        <v>47</v>
      </c>
      <c r="X17" s="33">
        <f>V11</f>
        <v>4658</v>
      </c>
      <c r="Y17" s="33">
        <f>W11</f>
        <v>-1</v>
      </c>
      <c r="Z17" s="37"/>
      <c r="AA17" s="10" t="s">
        <v>30</v>
      </c>
      <c r="AB17" s="8"/>
      <c r="AC17" s="8">
        <f>AC15-AF15</f>
        <v>3791.9560669456068</v>
      </c>
      <c r="AD17" s="8">
        <f>AD15</f>
        <v>-1267.3186889818687</v>
      </c>
      <c r="AE17" s="8">
        <f>AE15*2</f>
        <v>-2524.6373779637379</v>
      </c>
    </row>
    <row r="18" spans="1:33" ht="15.6" thickTop="1" thickBot="1" x14ac:dyDescent="0.35">
      <c r="A18" s="127" t="s">
        <v>40</v>
      </c>
      <c r="B18" s="128"/>
      <c r="C18" s="128"/>
      <c r="D18" s="129"/>
      <c r="N18" s="37"/>
      <c r="O18" s="2" t="s">
        <v>44</v>
      </c>
      <c r="P18" s="39">
        <v>3732.0000000000041</v>
      </c>
      <c r="Q18" s="39">
        <v>-0.80000000000000104</v>
      </c>
      <c r="R18" s="112"/>
      <c r="S18" s="33">
        <v>-0.79999999999999982</v>
      </c>
      <c r="T18" s="33">
        <v>3.2000000000000006</v>
      </c>
      <c r="U18" s="33">
        <v>-0.79999999999999993</v>
      </c>
      <c r="V18" s="36">
        <v>-0.79999999999999993</v>
      </c>
      <c r="W18" s="111"/>
      <c r="X18" s="33">
        <f t="shared" ref="X18:X20" si="5">V12</f>
        <v>4660</v>
      </c>
      <c r="Y18" s="33">
        <f t="shared" ref="Y18:Y20" si="6">W12</f>
        <v>-1</v>
      </c>
      <c r="Z18" s="37"/>
    </row>
    <row r="19" spans="1:33" ht="15.6" thickTop="1" thickBot="1" x14ac:dyDescent="0.35">
      <c r="A19" s="27">
        <v>2</v>
      </c>
      <c r="B19" s="28">
        <v>1</v>
      </c>
      <c r="C19" s="28">
        <v>1</v>
      </c>
      <c r="D19" s="29">
        <v>1</v>
      </c>
      <c r="N19" s="37"/>
      <c r="O19" s="2" t="s">
        <v>45</v>
      </c>
      <c r="P19" s="39">
        <v>3740</v>
      </c>
      <c r="Q19" s="39">
        <v>-0.79999999999999993</v>
      </c>
      <c r="R19" s="112"/>
      <c r="S19" s="33">
        <v>-0.80000000000000016</v>
      </c>
      <c r="T19" s="33">
        <v>-0.8</v>
      </c>
      <c r="U19" s="33">
        <v>3.2</v>
      </c>
      <c r="V19" s="36">
        <v>-0.80000000000000016</v>
      </c>
      <c r="W19" s="111"/>
      <c r="X19" s="33">
        <f t="shared" si="5"/>
        <v>4662</v>
      </c>
      <c r="Y19" s="33">
        <f t="shared" si="6"/>
        <v>-1</v>
      </c>
      <c r="Z19" s="37"/>
      <c r="AA19" s="110" t="s">
        <v>59</v>
      </c>
      <c r="AB19" s="110"/>
      <c r="AC19" s="26">
        <f>ABS(AC3/B28)</f>
        <v>6.7087719298245609</v>
      </c>
    </row>
    <row r="20" spans="1:33" ht="15.6" thickTop="1" thickBot="1" x14ac:dyDescent="0.35">
      <c r="A20" s="27">
        <v>1</v>
      </c>
      <c r="B20" s="28">
        <v>2</v>
      </c>
      <c r="C20" s="28">
        <v>1</v>
      </c>
      <c r="D20" s="29">
        <v>1</v>
      </c>
      <c r="N20" s="37"/>
      <c r="O20" s="2" t="s">
        <v>46</v>
      </c>
      <c r="P20" s="39">
        <v>3712</v>
      </c>
      <c r="Q20" s="39">
        <v>-0.79999999999999982</v>
      </c>
      <c r="R20" s="112"/>
      <c r="S20" s="33">
        <v>-0.8</v>
      </c>
      <c r="T20" s="33">
        <v>-0.79999999999999993</v>
      </c>
      <c r="U20" s="33">
        <v>-0.80000000000000016</v>
      </c>
      <c r="V20" s="36">
        <v>3.2</v>
      </c>
      <c r="W20" s="111"/>
      <c r="X20" s="33">
        <f t="shared" si="5"/>
        <v>4655</v>
      </c>
      <c r="Y20" s="33">
        <f t="shared" si="6"/>
        <v>-1</v>
      </c>
      <c r="Z20" s="37"/>
    </row>
    <row r="21" spans="1:33" ht="15" thickTop="1" x14ac:dyDescent="0.3">
      <c r="A21" s="27">
        <v>1</v>
      </c>
      <c r="B21" s="28">
        <v>1</v>
      </c>
      <c r="C21" s="28">
        <v>2</v>
      </c>
      <c r="D21" s="29">
        <v>1</v>
      </c>
      <c r="N21" s="37"/>
      <c r="Z21" s="37"/>
      <c r="AA21" s="10" t="s">
        <v>60</v>
      </c>
      <c r="AB21" s="8"/>
      <c r="AC21" s="8">
        <f>$AC$19*AC13</f>
        <v>25472.912280701752</v>
      </c>
      <c r="AD21" s="8">
        <f>$AC$19*AD13</f>
        <v>-17004.304093567247</v>
      </c>
      <c r="AE21" s="8">
        <f t="shared" ref="AE21" si="7">$AC$19*AE13</f>
        <v>-8468.6081871345032</v>
      </c>
    </row>
    <row r="22" spans="1:33" ht="15" thickBot="1" x14ac:dyDescent="0.35">
      <c r="A22" s="30">
        <v>1</v>
      </c>
      <c r="B22" s="31">
        <v>1</v>
      </c>
      <c r="C22" s="31">
        <v>1</v>
      </c>
      <c r="D22" s="32">
        <v>2</v>
      </c>
      <c r="N22" s="37"/>
      <c r="O22" s="113" t="s">
        <v>111</v>
      </c>
      <c r="P22" s="114"/>
      <c r="Q22" s="114"/>
      <c r="R22" s="114"/>
      <c r="S22" s="114"/>
      <c r="T22" s="114"/>
      <c r="U22" s="114"/>
      <c r="V22" s="115"/>
      <c r="Z22" s="37"/>
      <c r="AA22" s="10" t="s">
        <v>61</v>
      </c>
      <c r="AB22" s="8"/>
      <c r="AC22" s="8">
        <f>AC19*AC17</f>
        <v>25439.36842105263</v>
      </c>
      <c r="AD22" s="8">
        <f>$AC$19*AD17</f>
        <v>-8502.1520467836235</v>
      </c>
      <c r="AE22" s="8">
        <f>$AC$19*AE17</f>
        <v>-16937.216374269006</v>
      </c>
    </row>
    <row r="23" spans="1:33" x14ac:dyDescent="0.3">
      <c r="N23" s="37"/>
      <c r="O23" s="33">
        <f t="array" ref="O23:P24">D15*A19:B20</f>
        <v>0.38</v>
      </c>
      <c r="P23" s="33">
        <v>0.19</v>
      </c>
      <c r="Q23" s="116" t="s">
        <v>41</v>
      </c>
      <c r="R23" s="36">
        <f>I8</f>
        <v>5464.3531772247907</v>
      </c>
      <c r="S23" s="117" t="s">
        <v>51</v>
      </c>
      <c r="T23" s="33">
        <f>$C$15-D9</f>
        <v>5880</v>
      </c>
      <c r="U23" s="33">
        <f>-$B$28</f>
        <v>-1</v>
      </c>
      <c r="Z23" s="37"/>
    </row>
    <row r="24" spans="1:33" x14ac:dyDescent="0.3">
      <c r="N24" s="37"/>
      <c r="O24" s="33">
        <v>0.19</v>
      </c>
      <c r="P24" s="33">
        <v>0.38</v>
      </c>
      <c r="Q24" s="102"/>
      <c r="R24" s="36">
        <f>I9</f>
        <v>5453.8268614353174</v>
      </c>
      <c r="S24" s="111"/>
      <c r="T24" s="33">
        <f>$C$15-D11</f>
        <v>5878</v>
      </c>
      <c r="U24" s="33">
        <f>-$B$28</f>
        <v>-1</v>
      </c>
      <c r="Z24" s="37"/>
      <c r="AA24" s="33">
        <v>2</v>
      </c>
      <c r="AB24" s="33">
        <v>1</v>
      </c>
      <c r="AC24" s="102" t="s">
        <v>41</v>
      </c>
      <c r="AD24" s="33">
        <f>I2</f>
        <v>8502.1520467836235</v>
      </c>
      <c r="AE24" s="102" t="s">
        <v>51</v>
      </c>
      <c r="AF24" s="33">
        <f>AC21</f>
        <v>25472.912280701752</v>
      </c>
    </row>
    <row r="25" spans="1:33" x14ac:dyDescent="0.3">
      <c r="N25" s="37"/>
      <c r="S25" s="103" t="s">
        <v>42</v>
      </c>
      <c r="Z25" s="37"/>
      <c r="AA25" s="33">
        <v>1</v>
      </c>
      <c r="AB25" s="33">
        <v>2</v>
      </c>
      <c r="AC25" s="102"/>
      <c r="AD25" s="33">
        <f>I3</f>
        <v>8468.6081871345032</v>
      </c>
      <c r="AE25" s="102"/>
      <c r="AF25" s="33">
        <f>AC22</f>
        <v>25439.36842105263</v>
      </c>
    </row>
    <row r="26" spans="1:33" ht="15" thickBot="1" x14ac:dyDescent="0.35">
      <c r="N26" s="37"/>
      <c r="S26" s="104"/>
      <c r="Z26" s="37"/>
      <c r="AD26" s="103" t="s">
        <v>42</v>
      </c>
    </row>
    <row r="27" spans="1:33" ht="15.6" thickTop="1" thickBot="1" x14ac:dyDescent="0.35">
      <c r="N27" s="37"/>
      <c r="O27" s="2" t="s">
        <v>48</v>
      </c>
      <c r="P27" s="38">
        <f t="array" ref="P27:P28">MMULT(S27:T28,V27:V28)</f>
        <v>10319.298245614034</v>
      </c>
      <c r="Q27" s="38">
        <f t="array" ref="Q27:Q28">MMULT(S27:T28,W27:W28)</f>
        <v>-1.7543859649122806</v>
      </c>
      <c r="R27" s="112" t="s">
        <v>51</v>
      </c>
      <c r="S27" s="33">
        <f t="array" ref="S27:T28">MINVERSE(O23:P24)</f>
        <v>3.5087719298245612</v>
      </c>
      <c r="T27" s="33">
        <v>-1.7543859649122806</v>
      </c>
      <c r="U27" s="111" t="s">
        <v>41</v>
      </c>
      <c r="V27" s="33">
        <f>T23</f>
        <v>5880</v>
      </c>
      <c r="W27" s="33">
        <f>U23</f>
        <v>-1</v>
      </c>
      <c r="Z27" s="37"/>
      <c r="AD27" s="104"/>
    </row>
    <row r="28" spans="1:33" ht="15.6" thickTop="1" thickBot="1" x14ac:dyDescent="0.35">
      <c r="A28" s="58" t="s">
        <v>90</v>
      </c>
      <c r="B28" s="34">
        <v>1</v>
      </c>
      <c r="N28" s="37"/>
      <c r="O28" s="2" t="s">
        <v>49</v>
      </c>
      <c r="P28" s="38">
        <v>10308.771929824561</v>
      </c>
      <c r="Q28" s="38">
        <v>-1.7543859649122806</v>
      </c>
      <c r="R28" s="112"/>
      <c r="S28" s="33">
        <v>-1.7543859649122806</v>
      </c>
      <c r="T28" s="33">
        <v>3.5087719298245612</v>
      </c>
      <c r="U28" s="111"/>
      <c r="V28" s="33">
        <f>T24</f>
        <v>5878</v>
      </c>
      <c r="W28" s="33">
        <f>U24</f>
        <v>-1</v>
      </c>
      <c r="Z28" s="37"/>
      <c r="AA28" s="94" t="s">
        <v>62</v>
      </c>
      <c r="AB28" s="6">
        <f t="array" ref="AB28:AB29">MMULT(AD28:AE29,AG28:AG29)</f>
        <v>8502.1520467836235</v>
      </c>
      <c r="AC28" s="105" t="s">
        <v>51</v>
      </c>
      <c r="AD28" s="95">
        <f t="array" ref="AD28:AE29">MINVERSE(AA24:AB25)</f>
        <v>0.66666666666666663</v>
      </c>
      <c r="AE28" s="95">
        <v>-0.33333333333333331</v>
      </c>
      <c r="AF28" s="105" t="s">
        <v>41</v>
      </c>
      <c r="AG28" s="95">
        <f>AF24</f>
        <v>25472.912280701752</v>
      </c>
    </row>
    <row r="29" spans="1:33" ht="15.6" thickTop="1" thickBot="1" x14ac:dyDescent="0.35">
      <c r="N29" s="37"/>
      <c r="Z29" s="37"/>
      <c r="AA29" s="94" t="s">
        <v>63</v>
      </c>
      <c r="AB29" s="6">
        <v>8468.6081871345032</v>
      </c>
      <c r="AC29" s="105"/>
      <c r="AD29" s="95">
        <v>-0.33333333333333331</v>
      </c>
      <c r="AE29" s="95">
        <v>0.66666666666666663</v>
      </c>
      <c r="AF29" s="105"/>
      <c r="AG29" s="95">
        <f>AF25</f>
        <v>25439.36842105263</v>
      </c>
    </row>
    <row r="30" spans="1:33" ht="15" thickTop="1" x14ac:dyDescent="0.3"/>
    <row r="31" spans="1:33" x14ac:dyDescent="0.3">
      <c r="R31" s="106"/>
      <c r="S31" s="106"/>
      <c r="T31" s="106"/>
    </row>
  </sheetData>
  <mergeCells count="46">
    <mergeCell ref="A1:D1"/>
    <mergeCell ref="H1:I1"/>
    <mergeCell ref="J1:K1"/>
    <mergeCell ref="L1:M1"/>
    <mergeCell ref="A3:A6"/>
    <mergeCell ref="B3:B6"/>
    <mergeCell ref="C3:C6"/>
    <mergeCell ref="A18:D18"/>
    <mergeCell ref="H11:I11"/>
    <mergeCell ref="A13:A15"/>
    <mergeCell ref="D3:D6"/>
    <mergeCell ref="A7:D7"/>
    <mergeCell ref="A9:A12"/>
    <mergeCell ref="B9:B10"/>
    <mergeCell ref="D9:D10"/>
    <mergeCell ref="B11:B12"/>
    <mergeCell ref="D11:D12"/>
    <mergeCell ref="O1:P1"/>
    <mergeCell ref="Q1:U1"/>
    <mergeCell ref="O10:V10"/>
    <mergeCell ref="S11:S14"/>
    <mergeCell ref="U11:U14"/>
    <mergeCell ref="P2:U3"/>
    <mergeCell ref="AF28:AF29"/>
    <mergeCell ref="R31:T31"/>
    <mergeCell ref="AC24:AC25"/>
    <mergeCell ref="AA5:AD5"/>
    <mergeCell ref="AA6:AD6"/>
    <mergeCell ref="AA10:AD10"/>
    <mergeCell ref="AC12:AD12"/>
    <mergeCell ref="AC16:AD16"/>
    <mergeCell ref="AA19:AB19"/>
    <mergeCell ref="S15:S16"/>
    <mergeCell ref="W17:W20"/>
    <mergeCell ref="R17:R20"/>
    <mergeCell ref="O22:V22"/>
    <mergeCell ref="Q23:Q24"/>
    <mergeCell ref="S23:S24"/>
    <mergeCell ref="S25:S26"/>
    <mergeCell ref="I16:L16"/>
    <mergeCell ref="J15:K15"/>
    <mergeCell ref="AE24:AE25"/>
    <mergeCell ref="AD26:AD27"/>
    <mergeCell ref="AC28:AC29"/>
    <mergeCell ref="R27:R28"/>
    <mergeCell ref="U27:U28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8F25-6F2A-4DB5-8C3E-42708AD78FD6}">
  <dimension ref="A1:AJ135"/>
  <sheetViews>
    <sheetView tabSelected="1" zoomScale="70" zoomScaleNormal="70" workbookViewId="0">
      <selection activeCell="N8" sqref="N8"/>
    </sheetView>
  </sheetViews>
  <sheetFormatPr defaultRowHeight="14.4" x14ac:dyDescent="0.3"/>
  <cols>
    <col min="14" max="14" width="11" bestFit="1" customWidth="1"/>
    <col min="15" max="15" width="3.33203125" customWidth="1"/>
    <col min="27" max="27" width="2.109375" customWidth="1"/>
  </cols>
  <sheetData>
    <row r="1" spans="1:36" ht="15" thickBot="1" x14ac:dyDescent="0.35">
      <c r="A1" s="189" t="s">
        <v>0</v>
      </c>
      <c r="B1" s="189"/>
      <c r="C1" s="189"/>
      <c r="D1" s="189"/>
      <c r="E1" s="189"/>
      <c r="F1" s="189"/>
      <c r="G1" s="189"/>
      <c r="I1" s="190" t="s">
        <v>11</v>
      </c>
      <c r="J1" s="191"/>
      <c r="K1" s="192" t="s">
        <v>20</v>
      </c>
      <c r="L1" s="192"/>
      <c r="M1" s="193" t="s">
        <v>24</v>
      </c>
      <c r="N1" s="194"/>
      <c r="O1" s="60"/>
      <c r="P1" s="195" t="s">
        <v>24</v>
      </c>
      <c r="Q1" s="195"/>
      <c r="R1" s="153" t="s">
        <v>50</v>
      </c>
      <c r="S1" s="153"/>
      <c r="T1" s="153"/>
      <c r="U1" s="153"/>
      <c r="V1" s="153"/>
      <c r="AA1" s="37"/>
      <c r="AB1" s="170" t="s">
        <v>101</v>
      </c>
      <c r="AC1" s="170"/>
      <c r="AD1" s="170"/>
      <c r="AE1" s="170"/>
      <c r="AF1" s="170"/>
      <c r="AG1" s="170"/>
      <c r="AH1" s="170"/>
      <c r="AI1" s="170"/>
    </row>
    <row r="2" spans="1:36" ht="17.399999999999999" thickTop="1" thickBot="1" x14ac:dyDescent="0.35">
      <c r="A2" s="2" t="s">
        <v>1</v>
      </c>
      <c r="B2" s="57" t="s">
        <v>2</v>
      </c>
      <c r="C2" s="57" t="s">
        <v>3</v>
      </c>
      <c r="D2" s="57" t="s">
        <v>4</v>
      </c>
      <c r="E2" s="57" t="s">
        <v>67</v>
      </c>
      <c r="F2" s="57" t="s">
        <v>66</v>
      </c>
      <c r="G2" s="57" t="s">
        <v>65</v>
      </c>
      <c r="I2" s="88" t="s">
        <v>12</v>
      </c>
      <c r="J2" s="82">
        <f>AC27</f>
        <v>8151.0370370370356</v>
      </c>
      <c r="K2" s="81" t="s">
        <v>21</v>
      </c>
      <c r="L2" s="83">
        <f>SUM(AC20:AE20)</f>
        <v>2583.0610236220473</v>
      </c>
      <c r="M2" s="46" t="s">
        <v>29</v>
      </c>
      <c r="N2" s="89">
        <f>J2*(L2-B9)</f>
        <v>8828070.5169145502</v>
      </c>
      <c r="O2" s="60"/>
      <c r="P2" s="96" t="s">
        <v>29</v>
      </c>
      <c r="Q2" s="154"/>
      <c r="R2" s="155"/>
      <c r="S2" s="155"/>
      <c r="T2" s="155"/>
      <c r="U2" s="155"/>
      <c r="V2" s="156"/>
      <c r="AA2" s="37"/>
      <c r="AB2" s="41" t="s">
        <v>53</v>
      </c>
      <c r="AC2" s="41">
        <f>Q36</f>
        <v>17666.666666666668</v>
      </c>
      <c r="AD2" s="41">
        <f>R36</f>
        <v>-3.3333333333333335</v>
      </c>
    </row>
    <row r="3" spans="1:36" ht="15" thickTop="1" x14ac:dyDescent="0.3">
      <c r="A3" s="182" t="s">
        <v>5</v>
      </c>
      <c r="B3" s="185">
        <v>2</v>
      </c>
      <c r="C3" s="185">
        <v>1</v>
      </c>
      <c r="D3" s="185">
        <v>2</v>
      </c>
      <c r="E3" s="185">
        <v>4</v>
      </c>
      <c r="F3" s="185">
        <v>2</v>
      </c>
      <c r="G3" s="185">
        <v>1</v>
      </c>
      <c r="I3" s="88" t="s">
        <v>13</v>
      </c>
      <c r="J3" s="82">
        <f>AC28</f>
        <v>8113.4074074074088</v>
      </c>
      <c r="K3" s="81" t="s">
        <v>22</v>
      </c>
      <c r="L3" s="83">
        <f>SUM(Q44:R44)</f>
        <v>4396.970455945102</v>
      </c>
      <c r="M3" s="47" t="s">
        <v>30</v>
      </c>
      <c r="N3" s="89">
        <f>J3*(L2-B11)</f>
        <v>8746748.2946923319</v>
      </c>
      <c r="O3" s="60"/>
      <c r="P3" s="96" t="s">
        <v>30</v>
      </c>
      <c r="Q3" s="157"/>
      <c r="R3" s="158"/>
      <c r="S3" s="158"/>
      <c r="T3" s="158"/>
      <c r="U3" s="158"/>
      <c r="V3" s="159"/>
      <c r="AA3" s="37"/>
      <c r="AC3" s="188" t="s">
        <v>42</v>
      </c>
      <c r="AD3" s="188"/>
    </row>
    <row r="4" spans="1:36" ht="15" thickBot="1" x14ac:dyDescent="0.35">
      <c r="A4" s="183"/>
      <c r="B4" s="186"/>
      <c r="C4" s="186"/>
      <c r="D4" s="186"/>
      <c r="E4" s="186"/>
      <c r="F4" s="186"/>
      <c r="G4" s="186"/>
      <c r="I4" s="88" t="s">
        <v>14</v>
      </c>
      <c r="J4" s="82">
        <f>Q46+R46*L2</f>
        <v>11815.69116360455</v>
      </c>
      <c r="K4" s="81" t="s">
        <v>23</v>
      </c>
      <c r="L4" s="83">
        <f>SUM(AC5:AE5)</f>
        <v>3965.3740157480315</v>
      </c>
      <c r="M4" s="48" t="s">
        <v>31</v>
      </c>
      <c r="N4" s="89">
        <f>J4*(L3-L2-C9)</f>
        <v>13161609.836555278</v>
      </c>
      <c r="O4" s="60"/>
      <c r="P4" s="96" t="s">
        <v>31</v>
      </c>
      <c r="Q4" s="33">
        <f t="shared" ref="Q4:Q13" si="0">J4</f>
        <v>11815.69116360455</v>
      </c>
      <c r="R4" s="98">
        <f>Q44</f>
        <v>5510.8798882681567</v>
      </c>
      <c r="S4" s="98">
        <f>R44</f>
        <v>-1113.9094323230545</v>
      </c>
      <c r="T4" s="33">
        <f>B27</f>
        <v>1</v>
      </c>
      <c r="U4" s="33">
        <f>C9</f>
        <v>700</v>
      </c>
      <c r="V4" s="33"/>
      <c r="AA4" s="37"/>
      <c r="AB4" s="108" t="s">
        <v>104</v>
      </c>
      <c r="AC4" s="108"/>
      <c r="AD4" s="108"/>
      <c r="AE4" s="108"/>
    </row>
    <row r="5" spans="1:36" ht="15" thickBot="1" x14ac:dyDescent="0.35">
      <c r="A5" s="183"/>
      <c r="B5" s="186"/>
      <c r="C5" s="186"/>
      <c r="D5" s="186"/>
      <c r="E5" s="186"/>
      <c r="F5" s="186"/>
      <c r="G5" s="186"/>
      <c r="I5" s="88" t="s">
        <v>18</v>
      </c>
      <c r="J5" s="82">
        <f>AC11+AD11*$L$2</f>
        <v>2207.7099737532803</v>
      </c>
      <c r="K5" s="81" t="s">
        <v>77</v>
      </c>
      <c r="L5" s="83">
        <f>C14-D14*J19</f>
        <v>4790.5763647560816</v>
      </c>
      <c r="M5" s="48" t="s">
        <v>35</v>
      </c>
      <c r="N5" s="89">
        <f>J5*(L4-L2-D9)</f>
        <v>1462194.9984629133</v>
      </c>
      <c r="O5" s="60"/>
      <c r="P5" s="96" t="s">
        <v>35</v>
      </c>
      <c r="Q5" s="33">
        <f t="shared" si="0"/>
        <v>2207.7099737532803</v>
      </c>
      <c r="R5" s="33">
        <f>$AC$5</f>
        <v>5300</v>
      </c>
      <c r="S5" s="33">
        <f>$AD$5</f>
        <v>-662.31299212598412</v>
      </c>
      <c r="T5" s="33">
        <f>$AE$5</f>
        <v>-672.31299212598424</v>
      </c>
      <c r="U5" s="33">
        <f>$B$27</f>
        <v>1</v>
      </c>
      <c r="V5" s="33">
        <f>D9</f>
        <v>720</v>
      </c>
      <c r="AA5" s="37"/>
      <c r="AB5" s="78" t="s">
        <v>106</v>
      </c>
      <c r="AC5" s="75">
        <f>AC2/-AD2</f>
        <v>5300</v>
      </c>
      <c r="AD5" s="75">
        <f>J5/AD2</f>
        <v>-662.31299212598412</v>
      </c>
      <c r="AE5" s="75">
        <f>J6/AD2</f>
        <v>-672.31299212598424</v>
      </c>
    </row>
    <row r="6" spans="1:36" ht="15" thickBot="1" x14ac:dyDescent="0.35">
      <c r="A6" s="184"/>
      <c r="B6" s="187"/>
      <c r="C6" s="187"/>
      <c r="D6" s="187"/>
      <c r="E6" s="187"/>
      <c r="F6" s="187"/>
      <c r="G6" s="187"/>
      <c r="I6" s="88" t="s">
        <v>19</v>
      </c>
      <c r="J6" s="82">
        <f>AC12+AD12*$L$2</f>
        <v>2241.0433070866143</v>
      </c>
      <c r="K6" s="81" t="s">
        <v>78</v>
      </c>
      <c r="L6" s="83">
        <f>C15-D15*J20</f>
        <v>5011.9803039634007</v>
      </c>
      <c r="M6" s="48" t="s">
        <v>36</v>
      </c>
      <c r="N6" s="89">
        <f>J6*(L4-L2-D11)</f>
        <v>1506682.5312713126</v>
      </c>
      <c r="O6" s="60"/>
      <c r="P6" s="96" t="s">
        <v>36</v>
      </c>
      <c r="Q6" s="33">
        <f t="shared" si="0"/>
        <v>2241.0433070866143</v>
      </c>
      <c r="R6" s="33">
        <f>$AC$5</f>
        <v>5300</v>
      </c>
      <c r="S6" s="33">
        <f>$AD$5</f>
        <v>-662.31299212598412</v>
      </c>
      <c r="T6" s="33">
        <f>$AE$5</f>
        <v>-672.31299212598424</v>
      </c>
      <c r="U6" s="33">
        <f>$B$27</f>
        <v>1</v>
      </c>
      <c r="V6" s="33">
        <f>D11</f>
        <v>710</v>
      </c>
      <c r="AA6" s="37"/>
      <c r="AB6" s="160" t="s">
        <v>108</v>
      </c>
      <c r="AC6" s="161"/>
      <c r="AD6" s="161"/>
      <c r="AE6" s="161"/>
      <c r="AF6" s="161"/>
      <c r="AG6" s="161"/>
      <c r="AH6" s="161"/>
      <c r="AI6" s="162"/>
    </row>
    <row r="7" spans="1:36" ht="15.6" thickTop="1" thickBot="1" x14ac:dyDescent="0.35">
      <c r="A7" s="136" t="s">
        <v>6</v>
      </c>
      <c r="B7" s="136"/>
      <c r="C7" s="136"/>
      <c r="D7" s="136"/>
      <c r="E7" s="136"/>
      <c r="F7" s="136"/>
      <c r="G7" s="136"/>
      <c r="I7" s="88" t="s">
        <v>70</v>
      </c>
      <c r="J7" s="82">
        <f>Q21+R21*$L$3</f>
        <v>206.42363524391749</v>
      </c>
      <c r="K7" s="81" t="s">
        <v>79</v>
      </c>
      <c r="L7" s="83">
        <f>C16-D16*J21</f>
        <v>4832.6870078740158</v>
      </c>
      <c r="M7" s="48" t="s">
        <v>87</v>
      </c>
      <c r="N7" s="89">
        <f>J7*($C$14-$D$14*$J$19-$L$3-E9)</f>
        <v>10652.679296828521</v>
      </c>
      <c r="O7" s="60"/>
      <c r="P7" s="96" t="s">
        <v>87</v>
      </c>
      <c r="Q7" s="61">
        <f t="shared" si="0"/>
        <v>206.42363524391749</v>
      </c>
      <c r="R7" s="61">
        <f>$C$14</f>
        <v>5000</v>
      </c>
      <c r="S7" s="61">
        <f>$D$14</f>
        <v>0.25</v>
      </c>
      <c r="T7" s="61">
        <f>$J$19</f>
        <v>837.69454097567359</v>
      </c>
      <c r="U7" s="61">
        <f>$B$27</f>
        <v>1</v>
      </c>
      <c r="V7" s="61">
        <f>E9</f>
        <v>342</v>
      </c>
      <c r="AA7" s="37"/>
      <c r="AB7" s="64">
        <f t="array" ref="AB7:AC8">A22:B23</f>
        <v>2</v>
      </c>
      <c r="AC7" s="66">
        <v>1</v>
      </c>
      <c r="AD7" s="166" t="s">
        <v>41</v>
      </c>
      <c r="AE7" s="73">
        <f>J5</f>
        <v>2207.7099737532803</v>
      </c>
      <c r="AF7" s="171" t="s">
        <v>51</v>
      </c>
      <c r="AG7" s="73">
        <f>($AC$5-D9)* -AD2</f>
        <v>15266.666666666668</v>
      </c>
      <c r="AH7" s="73">
        <f>B27*AD2</f>
        <v>-3.3333333333333335</v>
      </c>
    </row>
    <row r="8" spans="1:36" ht="15.6" thickBot="1" x14ac:dyDescent="0.4">
      <c r="A8" s="4"/>
      <c r="B8" s="18" t="s">
        <v>7</v>
      </c>
      <c r="C8" s="18" t="s">
        <v>8</v>
      </c>
      <c r="D8" s="18" t="s">
        <v>9</v>
      </c>
      <c r="E8" s="18" t="s">
        <v>68</v>
      </c>
      <c r="F8" s="18" t="s">
        <v>69</v>
      </c>
      <c r="G8" s="18" t="s">
        <v>68</v>
      </c>
      <c r="I8" s="88" t="s">
        <v>71</v>
      </c>
      <c r="J8" s="82">
        <f>Q22+R22*$L$3</f>
        <v>214.42363524391794</v>
      </c>
      <c r="K8" s="68"/>
      <c r="L8" s="68"/>
      <c r="M8" s="48" t="s">
        <v>88</v>
      </c>
      <c r="N8" s="89">
        <f t="shared" ref="N8:N9" si="1">J8*($C$14-$D$14*$J$19-$L$3-E10)</f>
        <v>11494.373837804216</v>
      </c>
      <c r="O8" s="60"/>
      <c r="P8" s="96" t="s">
        <v>88</v>
      </c>
      <c r="Q8" s="61">
        <f t="shared" si="0"/>
        <v>214.42363524391794</v>
      </c>
      <c r="R8" s="61">
        <f t="shared" ref="R8:R10" si="2">$C$14</f>
        <v>5000</v>
      </c>
      <c r="S8" s="61">
        <f t="shared" ref="S8:S10" si="3">$D$14</f>
        <v>0.25</v>
      </c>
      <c r="T8" s="61">
        <f>$J$19</f>
        <v>837.69454097567359</v>
      </c>
      <c r="U8" s="61">
        <f t="shared" ref="U8:U9" si="4">$B$27</f>
        <v>1</v>
      </c>
      <c r="V8" s="61">
        <f t="shared" ref="V8:V10" si="5">E10</f>
        <v>340</v>
      </c>
      <c r="AA8" s="37"/>
      <c r="AB8" s="70">
        <v>1</v>
      </c>
      <c r="AC8" s="72">
        <v>2</v>
      </c>
      <c r="AD8" s="166"/>
      <c r="AE8" s="75">
        <f>J6</f>
        <v>2241.0433070866143</v>
      </c>
      <c r="AF8" s="166"/>
      <c r="AG8" s="74">
        <f>($AC$5-D11)* -AD2</f>
        <v>15300</v>
      </c>
      <c r="AH8" s="74">
        <f>B27*AD2</f>
        <v>-3.3333333333333335</v>
      </c>
    </row>
    <row r="9" spans="1:36" x14ac:dyDescent="0.3">
      <c r="A9" s="137" t="s">
        <v>10</v>
      </c>
      <c r="B9" s="140">
        <v>1500</v>
      </c>
      <c r="C9" s="180">
        <v>700</v>
      </c>
      <c r="D9" s="180">
        <v>720</v>
      </c>
      <c r="E9" s="56">
        <v>342</v>
      </c>
      <c r="F9" s="180">
        <v>120</v>
      </c>
      <c r="G9" s="180">
        <v>200</v>
      </c>
      <c r="I9" s="88" t="s">
        <v>72</v>
      </c>
      <c r="J9" s="82">
        <f>Q23+R23*$L$3</f>
        <v>222.42363524391885</v>
      </c>
      <c r="K9" s="68"/>
      <c r="L9" s="68"/>
      <c r="M9" s="48" t="s">
        <v>89</v>
      </c>
      <c r="N9" s="89">
        <f t="shared" si="1"/>
        <v>12368.068378779941</v>
      </c>
      <c r="O9" s="60"/>
      <c r="P9" s="96" t="s">
        <v>89</v>
      </c>
      <c r="Q9" s="61">
        <f t="shared" si="0"/>
        <v>222.42363524391885</v>
      </c>
      <c r="R9" s="61">
        <f t="shared" si="2"/>
        <v>5000</v>
      </c>
      <c r="S9" s="61">
        <f t="shared" si="3"/>
        <v>0.25</v>
      </c>
      <c r="T9" s="61">
        <f>$J$19</f>
        <v>837.69454097567359</v>
      </c>
      <c r="U9" s="61">
        <f t="shared" si="4"/>
        <v>1</v>
      </c>
      <c r="V9" s="61">
        <f t="shared" si="5"/>
        <v>338</v>
      </c>
      <c r="AA9" s="37"/>
      <c r="AF9" s="103" t="s">
        <v>42</v>
      </c>
    </row>
    <row r="10" spans="1:36" ht="15" thickBot="1" x14ac:dyDescent="0.35">
      <c r="A10" s="138"/>
      <c r="B10" s="141"/>
      <c r="C10" s="181"/>
      <c r="D10" s="141"/>
      <c r="E10" s="54">
        <v>340</v>
      </c>
      <c r="F10" s="141"/>
      <c r="G10" s="181"/>
      <c r="I10" s="88" t="s">
        <v>73</v>
      </c>
      <c r="J10" s="82">
        <f>Q24+R24*$L$3</f>
        <v>194.42363524391931</v>
      </c>
      <c r="K10" s="68"/>
      <c r="L10" s="68"/>
      <c r="M10" s="48" t="s">
        <v>83</v>
      </c>
      <c r="N10" s="89">
        <f>J10*($C$14-$D$14*$J$19-$L$3-E12)</f>
        <v>9450.1374853651014</v>
      </c>
      <c r="O10" s="60"/>
      <c r="P10" s="96" t="s">
        <v>83</v>
      </c>
      <c r="Q10" s="61">
        <f t="shared" si="0"/>
        <v>194.42363524391931</v>
      </c>
      <c r="R10" s="61">
        <f t="shared" si="2"/>
        <v>5000</v>
      </c>
      <c r="S10" s="61">
        <f t="shared" si="3"/>
        <v>0.25</v>
      </c>
      <c r="T10" s="61">
        <f>$J$19</f>
        <v>837.69454097567359</v>
      </c>
      <c r="U10" s="61">
        <f>$B$27</f>
        <v>1</v>
      </c>
      <c r="V10" s="61">
        <f t="shared" si="5"/>
        <v>345</v>
      </c>
      <c r="AA10" s="37"/>
      <c r="AF10" s="163"/>
    </row>
    <row r="11" spans="1:36" ht="15.6" thickTop="1" thickBot="1" x14ac:dyDescent="0.35">
      <c r="A11" s="138"/>
      <c r="B11" s="180">
        <v>1505</v>
      </c>
      <c r="C11" s="181"/>
      <c r="D11" s="180">
        <v>710</v>
      </c>
      <c r="E11" s="54">
        <v>338</v>
      </c>
      <c r="F11" s="180">
        <v>122</v>
      </c>
      <c r="G11" s="181"/>
      <c r="I11" s="88" t="s">
        <v>74</v>
      </c>
      <c r="J11" s="82">
        <f>Q31+R31*$L$3</f>
        <v>5500.1094224255485</v>
      </c>
      <c r="K11" s="68"/>
      <c r="L11" s="68"/>
      <c r="M11" s="48" t="s">
        <v>84</v>
      </c>
      <c r="N11" s="89">
        <f>J11*(C15-D15*J20-L3-F9)</f>
        <v>2722608.3292788835</v>
      </c>
      <c r="O11" s="60"/>
      <c r="P11" s="96" t="s">
        <v>84</v>
      </c>
      <c r="Q11" s="62">
        <f t="shared" si="0"/>
        <v>5500.1094224255485</v>
      </c>
      <c r="R11" s="62">
        <f>$C$15</f>
        <v>6000</v>
      </c>
      <c r="S11" s="62">
        <f>$D$15</f>
        <v>0.09</v>
      </c>
      <c r="T11" s="62">
        <f>$J$20</f>
        <v>10977.996622628876</v>
      </c>
      <c r="U11" s="62">
        <f>$B$27</f>
        <v>1</v>
      </c>
      <c r="V11" s="62">
        <f>F9</f>
        <v>120</v>
      </c>
      <c r="AA11" s="37"/>
      <c r="AB11" s="2" t="s">
        <v>48</v>
      </c>
      <c r="AC11" s="39">
        <f t="array" ref="AC11:AC12">MMULT(AF11:AG12,AI11:AI12)</f>
        <v>5077.7777777777774</v>
      </c>
      <c r="AD11" s="39">
        <f t="array" ref="AD11:AD12">MMULT(AF11:AG12,AJ11:AJ12)</f>
        <v>-1.1111111111111112</v>
      </c>
      <c r="AE11" s="164" t="s">
        <v>51</v>
      </c>
      <c r="AF11" s="64">
        <f t="array" ref="AF11:AG12">MINVERSE(AB7:AC8)</f>
        <v>0.66666666666666663</v>
      </c>
      <c r="AG11" s="66">
        <v>-0.33333333333333331</v>
      </c>
      <c r="AH11" s="166" t="s">
        <v>41</v>
      </c>
      <c r="AI11" s="64">
        <f>AG7</f>
        <v>15266.666666666668</v>
      </c>
      <c r="AJ11" s="66">
        <f>AH7</f>
        <v>-3.3333333333333335</v>
      </c>
    </row>
    <row r="12" spans="1:36" ht="15.6" thickTop="1" thickBot="1" x14ac:dyDescent="0.35">
      <c r="A12" s="139"/>
      <c r="B12" s="141"/>
      <c r="C12" s="141"/>
      <c r="D12" s="141"/>
      <c r="E12" s="54">
        <v>345</v>
      </c>
      <c r="F12" s="141"/>
      <c r="G12" s="141"/>
      <c r="I12" s="88" t="s">
        <v>75</v>
      </c>
      <c r="J12" s="82">
        <f>Q32+R32*$L$3</f>
        <v>5477.8872002033277</v>
      </c>
      <c r="K12" s="68"/>
      <c r="L12" s="68"/>
      <c r="M12" s="48" t="s">
        <v>85</v>
      </c>
      <c r="N12" s="89">
        <f>J12*(C15-D15*J20-L3-F11)</f>
        <v>2700652.3360336265</v>
      </c>
      <c r="O12" s="60"/>
      <c r="P12" s="96" t="s">
        <v>85</v>
      </c>
      <c r="Q12" s="62">
        <f t="shared" si="0"/>
        <v>5477.8872002033277</v>
      </c>
      <c r="R12" s="62">
        <f>$C$15</f>
        <v>6000</v>
      </c>
      <c r="S12" s="62">
        <f>$D$15</f>
        <v>0.09</v>
      </c>
      <c r="T12" s="62">
        <f>$J$20</f>
        <v>10977.996622628876</v>
      </c>
      <c r="U12" s="62">
        <f>$B$27</f>
        <v>1</v>
      </c>
      <c r="V12" s="62">
        <f>F11</f>
        <v>122</v>
      </c>
      <c r="AA12" s="37"/>
      <c r="AB12" s="2" t="s">
        <v>49</v>
      </c>
      <c r="AC12" s="39">
        <v>5111.1111111111113</v>
      </c>
      <c r="AD12" s="39">
        <v>-1.1111111111111112</v>
      </c>
      <c r="AE12" s="165"/>
      <c r="AF12" s="70">
        <v>-0.33333333333333331</v>
      </c>
      <c r="AG12" s="72">
        <v>0.66666666666666663</v>
      </c>
      <c r="AH12" s="166"/>
      <c r="AI12" s="70">
        <f>AG8</f>
        <v>15300</v>
      </c>
      <c r="AJ12" s="72">
        <f>AH8</f>
        <v>-3.3333333333333335</v>
      </c>
    </row>
    <row r="13" spans="1:36" ht="15" customHeight="1" thickTop="1" x14ac:dyDescent="0.3">
      <c r="A13" s="175" t="s">
        <v>37</v>
      </c>
      <c r="B13" s="25"/>
      <c r="C13" s="17" t="s">
        <v>38</v>
      </c>
      <c r="D13" s="55" t="s">
        <v>39</v>
      </c>
      <c r="E13" s="177"/>
      <c r="F13" s="177"/>
      <c r="G13" s="177"/>
      <c r="I13" s="88" t="s">
        <v>76</v>
      </c>
      <c r="J13" s="82">
        <f>Q36+R36*L4</f>
        <v>4448.7532808398955</v>
      </c>
      <c r="K13" s="68"/>
      <c r="L13" s="68"/>
      <c r="M13" s="48" t="s">
        <v>86</v>
      </c>
      <c r="N13" s="89">
        <f>J13*(C16-D16*J21-L4-G9)</f>
        <v>2968710.8630675599</v>
      </c>
      <c r="O13" s="60"/>
      <c r="P13" s="96" t="s">
        <v>86</v>
      </c>
      <c r="Q13" s="63">
        <f t="shared" si="0"/>
        <v>4448.7532808398955</v>
      </c>
      <c r="R13" s="63">
        <f>C16</f>
        <v>5500</v>
      </c>
      <c r="S13" s="63">
        <f>D16</f>
        <v>0.15</v>
      </c>
      <c r="T13" s="63">
        <f>J21</f>
        <v>4448.7532808398955</v>
      </c>
      <c r="U13" s="63">
        <f>$B$27</f>
        <v>1</v>
      </c>
      <c r="V13" s="63">
        <f>G9</f>
        <v>200</v>
      </c>
      <c r="AA13" s="37"/>
    </row>
    <row r="14" spans="1:36" ht="15" thickBot="1" x14ac:dyDescent="0.35">
      <c r="A14" s="176"/>
      <c r="B14" s="15">
        <v>1</v>
      </c>
      <c r="C14" s="16">
        <v>5000</v>
      </c>
      <c r="D14" s="21">
        <v>0.25</v>
      </c>
      <c r="E14" s="158"/>
      <c r="F14" s="158"/>
      <c r="G14" s="158"/>
      <c r="I14" s="67"/>
      <c r="J14" s="68"/>
      <c r="K14" s="68"/>
      <c r="L14" s="68"/>
      <c r="M14" s="86"/>
      <c r="N14" s="69"/>
      <c r="O14" s="60"/>
      <c r="P14" s="167" t="s">
        <v>91</v>
      </c>
      <c r="Q14" s="161"/>
      <c r="R14" s="161"/>
      <c r="S14" s="161"/>
      <c r="T14" s="161"/>
      <c r="U14" s="161"/>
      <c r="V14" s="161"/>
      <c r="W14" s="169"/>
      <c r="AA14" s="37"/>
      <c r="AB14" s="170" t="s">
        <v>101</v>
      </c>
      <c r="AC14" s="170"/>
      <c r="AD14" s="170"/>
      <c r="AE14" s="170"/>
      <c r="AF14" s="170"/>
      <c r="AG14" s="170"/>
      <c r="AH14" s="170"/>
      <c r="AI14" s="170"/>
    </row>
    <row r="15" spans="1:36" ht="15.6" thickTop="1" thickBot="1" x14ac:dyDescent="0.35">
      <c r="A15" s="176"/>
      <c r="B15" s="22">
        <v>2</v>
      </c>
      <c r="C15" s="23">
        <v>6000</v>
      </c>
      <c r="D15" s="24">
        <v>0.09</v>
      </c>
      <c r="E15" s="158"/>
      <c r="F15" s="158"/>
      <c r="G15" s="158"/>
      <c r="I15" s="178" t="s">
        <v>25</v>
      </c>
      <c r="J15" s="179"/>
      <c r="K15" s="68"/>
      <c r="L15" s="68"/>
      <c r="M15" s="68"/>
      <c r="N15" s="69"/>
      <c r="O15" s="60"/>
      <c r="P15" s="64">
        <f t="array" ref="P15:S18">D14*A22:D25</f>
        <v>0.5</v>
      </c>
      <c r="Q15" s="65">
        <v>0.25</v>
      </c>
      <c r="R15" s="65">
        <v>0.25</v>
      </c>
      <c r="S15" s="66">
        <v>0.25</v>
      </c>
      <c r="T15" s="171" t="s">
        <v>47</v>
      </c>
      <c r="U15" s="73">
        <f>J7</f>
        <v>206.42363524391749</v>
      </c>
      <c r="V15" s="171" t="s">
        <v>51</v>
      </c>
      <c r="W15" s="73">
        <f>$C$14-E9</f>
        <v>4658</v>
      </c>
      <c r="X15" s="73">
        <f>-$B$27</f>
        <v>-1</v>
      </c>
      <c r="AA15" s="37"/>
      <c r="AB15" s="9" t="s">
        <v>52</v>
      </c>
      <c r="AC15" s="9">
        <f>Q46</f>
        <v>25515.481481481482</v>
      </c>
      <c r="AD15" s="9">
        <f>R46</f>
        <v>-5.3037037037037038</v>
      </c>
    </row>
    <row r="16" spans="1:36" ht="15.6" thickTop="1" thickBot="1" x14ac:dyDescent="0.35">
      <c r="A16" s="176"/>
      <c r="B16" s="22">
        <v>2</v>
      </c>
      <c r="C16" s="23">
        <v>5500</v>
      </c>
      <c r="D16" s="24">
        <v>0.15</v>
      </c>
      <c r="E16" s="158"/>
      <c r="F16" s="158"/>
      <c r="G16" s="158"/>
      <c r="I16" s="91" t="s">
        <v>26</v>
      </c>
      <c r="J16" s="87">
        <f>SUM(J2:J3)</f>
        <v>16264.444444444445</v>
      </c>
      <c r="K16" s="68"/>
      <c r="L16" s="68"/>
      <c r="M16" s="68"/>
      <c r="N16" s="69"/>
      <c r="O16" s="60"/>
      <c r="P16" s="67">
        <v>0.25</v>
      </c>
      <c r="Q16" s="68">
        <v>0.5</v>
      </c>
      <c r="R16" s="68">
        <v>0.25</v>
      </c>
      <c r="S16" s="69">
        <v>0.25</v>
      </c>
      <c r="T16" s="166"/>
      <c r="U16" s="73">
        <f t="shared" ref="U16:U18" si="6">J8</f>
        <v>214.42363524391794</v>
      </c>
      <c r="V16" s="166"/>
      <c r="W16" s="73">
        <f t="shared" ref="W16:W18" si="7">$C$14-E10</f>
        <v>4660</v>
      </c>
      <c r="X16" s="73">
        <f t="shared" ref="X16:X18" si="8">-$B$27</f>
        <v>-1</v>
      </c>
      <c r="AA16" s="37"/>
      <c r="AB16" s="40" t="s">
        <v>53</v>
      </c>
      <c r="AC16" s="40">
        <f>SUM(AC11:AC12)</f>
        <v>10188.888888888889</v>
      </c>
      <c r="AD16" s="40">
        <f>SUM(AD11:AD12)</f>
        <v>-2.2222222222222223</v>
      </c>
    </row>
    <row r="17" spans="1:35" ht="15" thickBot="1" x14ac:dyDescent="0.35">
      <c r="I17" s="91" t="s">
        <v>27</v>
      </c>
      <c r="J17" s="87">
        <f>J4</f>
        <v>11815.69116360455</v>
      </c>
      <c r="K17" s="68"/>
      <c r="L17" s="68"/>
      <c r="M17" s="68"/>
      <c r="N17" s="69"/>
      <c r="O17" s="60"/>
      <c r="P17" s="67">
        <v>0.25</v>
      </c>
      <c r="Q17" s="68">
        <v>0.25</v>
      </c>
      <c r="R17" s="68">
        <v>0.5</v>
      </c>
      <c r="S17" s="69">
        <v>0.25</v>
      </c>
      <c r="T17" s="166"/>
      <c r="U17" s="73">
        <f t="shared" si="6"/>
        <v>222.42363524391885</v>
      </c>
      <c r="V17" s="166"/>
      <c r="W17" s="73">
        <f t="shared" si="7"/>
        <v>4662</v>
      </c>
      <c r="X17" s="73">
        <f t="shared" si="8"/>
        <v>-1</v>
      </c>
      <c r="AA17" s="37"/>
      <c r="AB17" s="41" t="s">
        <v>54</v>
      </c>
      <c r="AC17" s="41">
        <f>SUM(AC15:AC16)</f>
        <v>35704.370370370372</v>
      </c>
      <c r="AD17" s="41">
        <f>SUM(AD15:AD16)</f>
        <v>-7.5259259259259261</v>
      </c>
    </row>
    <row r="18" spans="1:35" ht="15" thickBot="1" x14ac:dyDescent="0.35">
      <c r="I18" s="91" t="s">
        <v>28</v>
      </c>
      <c r="J18" s="87">
        <f>SUM(J5:J6)</f>
        <v>4448.7532808398946</v>
      </c>
      <c r="K18" s="68"/>
      <c r="L18" s="68"/>
      <c r="M18" s="68"/>
      <c r="N18" s="69"/>
      <c r="O18" s="60"/>
      <c r="P18" s="70">
        <v>0.25</v>
      </c>
      <c r="Q18" s="71">
        <v>0.25</v>
      </c>
      <c r="R18" s="71">
        <v>0.25</v>
      </c>
      <c r="S18" s="72">
        <v>0.5</v>
      </c>
      <c r="T18" s="166"/>
      <c r="U18" s="75">
        <f t="shared" si="6"/>
        <v>194.42363524391931</v>
      </c>
      <c r="V18" s="166"/>
      <c r="W18" s="75">
        <f t="shared" si="7"/>
        <v>4655</v>
      </c>
      <c r="X18" s="75">
        <f t="shared" si="8"/>
        <v>-1</v>
      </c>
      <c r="AA18" s="37"/>
    </row>
    <row r="19" spans="1:35" ht="15" thickBot="1" x14ac:dyDescent="0.35">
      <c r="I19" s="91" t="s">
        <v>80</v>
      </c>
      <c r="J19" s="87">
        <f>SUM(J7:J10)</f>
        <v>837.69454097567359</v>
      </c>
      <c r="K19" s="68"/>
      <c r="L19" s="68"/>
      <c r="M19" s="68"/>
      <c r="N19" s="69"/>
      <c r="O19" s="60"/>
      <c r="T19" s="103" t="s">
        <v>42</v>
      </c>
      <c r="AA19" s="37"/>
      <c r="AB19" s="108" t="s">
        <v>104</v>
      </c>
      <c r="AC19" s="108"/>
      <c r="AD19" s="108"/>
      <c r="AE19" s="108"/>
    </row>
    <row r="20" spans="1:35" ht="15" thickBot="1" x14ac:dyDescent="0.35">
      <c r="I20" s="91" t="s">
        <v>81</v>
      </c>
      <c r="J20" s="87">
        <f>SUM(J11:J12)</f>
        <v>10977.996622628876</v>
      </c>
      <c r="K20" s="68"/>
      <c r="L20" s="68"/>
      <c r="M20" s="68"/>
      <c r="N20" s="69"/>
      <c r="O20" s="60"/>
      <c r="T20" s="163"/>
      <c r="AA20" s="37"/>
      <c r="AB20" s="78" t="s">
        <v>56</v>
      </c>
      <c r="AC20" s="75">
        <f>AC17/-AD17</f>
        <v>4744.1830708661419</v>
      </c>
      <c r="AD20" s="80">
        <f>J2/AD17</f>
        <v>-1083.0610236220471</v>
      </c>
      <c r="AE20" s="75">
        <f>J3/AD17</f>
        <v>-1078.0610236220473</v>
      </c>
    </row>
    <row r="21" spans="1:35" ht="15.6" thickTop="1" thickBot="1" x14ac:dyDescent="0.35">
      <c r="A21" s="127" t="s">
        <v>40</v>
      </c>
      <c r="B21" s="128"/>
      <c r="C21" s="128"/>
      <c r="D21" s="129"/>
      <c r="I21" s="92" t="s">
        <v>82</v>
      </c>
      <c r="J21" s="22">
        <f>J13</f>
        <v>4448.7532808398955</v>
      </c>
      <c r="K21" s="71"/>
      <c r="L21" s="71"/>
      <c r="M21" s="71"/>
      <c r="N21" s="72"/>
      <c r="O21" s="60"/>
      <c r="P21" s="2" t="s">
        <v>92</v>
      </c>
      <c r="Q21" s="39">
        <f t="array" ref="Q21:Q24">MMULT(T21:W24,Y21:Y24)</f>
        <v>3723.9999999999964</v>
      </c>
      <c r="R21" s="39">
        <f t="array" ref="R21:R24">MMULT(T21:W24,Z21:Z24)</f>
        <v>-0.79999999999999938</v>
      </c>
      <c r="S21" s="165" t="s">
        <v>51</v>
      </c>
      <c r="T21" s="64">
        <f t="array" ref="T21:W24">MINVERSE(P15:S18)</f>
        <v>3.1999999999999997</v>
      </c>
      <c r="U21" s="65">
        <v>-0.80000000000000027</v>
      </c>
      <c r="V21" s="65">
        <v>-0.8</v>
      </c>
      <c r="W21" s="66">
        <v>-0.8</v>
      </c>
      <c r="X21" s="171" t="s">
        <v>47</v>
      </c>
      <c r="Y21" s="73">
        <f>W15</f>
        <v>4658</v>
      </c>
      <c r="Z21" s="73">
        <f>X15</f>
        <v>-1</v>
      </c>
      <c r="AA21" s="37"/>
    </row>
    <row r="22" spans="1:35" ht="15.6" thickTop="1" thickBot="1" x14ac:dyDescent="0.35">
      <c r="A22" s="27">
        <v>2</v>
      </c>
      <c r="B22" s="28">
        <v>1</v>
      </c>
      <c r="C22" s="28">
        <v>1</v>
      </c>
      <c r="D22" s="29">
        <v>1</v>
      </c>
      <c r="K22" s="100" t="s">
        <v>110</v>
      </c>
      <c r="L22" s="101"/>
      <c r="O22" s="60"/>
      <c r="P22" s="2" t="s">
        <v>93</v>
      </c>
      <c r="Q22" s="39">
        <v>3732.0000000000041</v>
      </c>
      <c r="R22" s="39">
        <v>-0.80000000000000104</v>
      </c>
      <c r="S22" s="165"/>
      <c r="T22" s="67">
        <v>-0.79999999999999982</v>
      </c>
      <c r="U22" s="68">
        <v>3.2000000000000006</v>
      </c>
      <c r="V22" s="68">
        <v>-0.79999999999999993</v>
      </c>
      <c r="W22" s="69">
        <v>-0.79999999999999993</v>
      </c>
      <c r="X22" s="166"/>
      <c r="Y22" s="73">
        <f t="shared" ref="Y22:Z24" si="9">W16</f>
        <v>4660</v>
      </c>
      <c r="Z22" s="73">
        <f t="shared" si="9"/>
        <v>-1</v>
      </c>
      <c r="AA22" s="37"/>
      <c r="AB22" s="167" t="s">
        <v>96</v>
      </c>
      <c r="AC22" s="168"/>
      <c r="AD22" s="168"/>
      <c r="AE22" s="168"/>
      <c r="AF22" s="168"/>
      <c r="AG22" s="168"/>
      <c r="AH22" s="168"/>
      <c r="AI22" s="169"/>
    </row>
    <row r="23" spans="1:35" ht="15.6" thickTop="1" thickBot="1" x14ac:dyDescent="0.35">
      <c r="A23" s="27">
        <v>1</v>
      </c>
      <c r="B23" s="28">
        <v>2</v>
      </c>
      <c r="C23" s="28">
        <v>1</v>
      </c>
      <c r="D23" s="29">
        <v>1</v>
      </c>
      <c r="J23" s="99" t="s">
        <v>109</v>
      </c>
      <c r="K23" s="99"/>
      <c r="L23" s="99"/>
      <c r="M23" s="99"/>
      <c r="O23" s="60"/>
      <c r="P23" s="2" t="s">
        <v>94</v>
      </c>
      <c r="Q23" s="39">
        <v>3740</v>
      </c>
      <c r="R23" s="39">
        <v>-0.79999999999999993</v>
      </c>
      <c r="S23" s="165"/>
      <c r="T23" s="67">
        <v>-0.80000000000000016</v>
      </c>
      <c r="U23" s="68">
        <v>-0.8</v>
      </c>
      <c r="V23" s="68">
        <v>3.2</v>
      </c>
      <c r="W23" s="69">
        <v>-0.80000000000000016</v>
      </c>
      <c r="X23" s="166"/>
      <c r="Y23" s="73">
        <f t="shared" si="9"/>
        <v>4662</v>
      </c>
      <c r="Z23" s="73">
        <f t="shared" si="9"/>
        <v>-1</v>
      </c>
      <c r="AA23" s="37"/>
      <c r="AB23" s="64">
        <f t="array" ref="AB23:AC24">A22:B23</f>
        <v>2</v>
      </c>
      <c r="AC23" s="66">
        <v>1</v>
      </c>
      <c r="AD23" s="172" t="s">
        <v>41</v>
      </c>
      <c r="AE23" s="73">
        <f>J2</f>
        <v>8151.0370370370356</v>
      </c>
      <c r="AF23" s="173" t="s">
        <v>51</v>
      </c>
      <c r="AG23" s="97">
        <f>(AC20-B9) *-AD17</f>
        <v>24415.481481481482</v>
      </c>
    </row>
    <row r="24" spans="1:35" ht="15.6" thickTop="1" thickBot="1" x14ac:dyDescent="0.35">
      <c r="A24" s="27">
        <v>1</v>
      </c>
      <c r="B24" s="28">
        <v>1</v>
      </c>
      <c r="C24" s="28">
        <v>2</v>
      </c>
      <c r="D24" s="29">
        <v>1</v>
      </c>
      <c r="O24" s="60"/>
      <c r="P24" s="2" t="s">
        <v>95</v>
      </c>
      <c r="Q24" s="39">
        <v>3712</v>
      </c>
      <c r="R24" s="39">
        <v>-0.79999999999999982</v>
      </c>
      <c r="S24" s="165"/>
      <c r="T24" s="70">
        <v>-0.8</v>
      </c>
      <c r="U24" s="71">
        <v>-0.79999999999999993</v>
      </c>
      <c r="V24" s="71">
        <v>-0.80000000000000016</v>
      </c>
      <c r="W24" s="72">
        <v>3.2</v>
      </c>
      <c r="X24" s="166"/>
      <c r="Y24" s="75">
        <f t="shared" si="9"/>
        <v>4655</v>
      </c>
      <c r="Z24" s="75">
        <f t="shared" si="9"/>
        <v>-1</v>
      </c>
      <c r="AA24" s="37"/>
      <c r="AB24" s="70">
        <v>1</v>
      </c>
      <c r="AC24" s="72">
        <v>2</v>
      </c>
      <c r="AD24" s="172"/>
      <c r="AE24" s="74">
        <f>J3</f>
        <v>8113.4074074074088</v>
      </c>
      <c r="AF24" s="174"/>
      <c r="AG24" s="75">
        <f>(AC20- B11) *-AD17</f>
        <v>24377.851851851854</v>
      </c>
    </row>
    <row r="25" spans="1:35" ht="15.6" thickTop="1" thickBot="1" x14ac:dyDescent="0.35">
      <c r="A25" s="30">
        <v>1</v>
      </c>
      <c r="B25" s="31">
        <v>1</v>
      </c>
      <c r="C25" s="31">
        <v>1</v>
      </c>
      <c r="D25" s="32">
        <v>2</v>
      </c>
      <c r="O25" s="60"/>
      <c r="AA25" s="37"/>
      <c r="AF25" s="103" t="s">
        <v>42</v>
      </c>
    </row>
    <row r="26" spans="1:35" ht="15" thickBot="1" x14ac:dyDescent="0.35">
      <c r="O26" s="60"/>
      <c r="P26" s="167" t="s">
        <v>96</v>
      </c>
      <c r="Q26" s="168"/>
      <c r="R26" s="168"/>
      <c r="S26" s="168"/>
      <c r="T26" s="168"/>
      <c r="U26" s="168"/>
      <c r="V26" s="168"/>
      <c r="W26" s="169"/>
      <c r="AA26" s="37"/>
      <c r="AF26" s="163"/>
    </row>
    <row r="27" spans="1:35" ht="15.6" thickTop="1" thickBot="1" x14ac:dyDescent="0.35">
      <c r="A27" s="58" t="s">
        <v>90</v>
      </c>
      <c r="B27" s="59">
        <v>1</v>
      </c>
      <c r="O27" s="60"/>
      <c r="P27" s="64">
        <f t="array" ref="P27:Q28">D15*A22:B23</f>
        <v>0.18</v>
      </c>
      <c r="Q27" s="66">
        <v>0.09</v>
      </c>
      <c r="R27" s="172" t="s">
        <v>41</v>
      </c>
      <c r="S27" s="73">
        <f>J11</f>
        <v>5500.1094224255485</v>
      </c>
      <c r="T27" s="173" t="s">
        <v>51</v>
      </c>
      <c r="U27" s="76">
        <f>$C$15 - F9</f>
        <v>5880</v>
      </c>
      <c r="V27" s="77">
        <f>-$B$27</f>
        <v>-1</v>
      </c>
      <c r="AA27" s="37"/>
      <c r="AB27" s="2" t="s">
        <v>62</v>
      </c>
      <c r="AC27" s="39">
        <f t="array" ref="AC27:AC28">MMULT(AE27:AF28,AH27:AH28)</f>
        <v>8151.0370370370356</v>
      </c>
      <c r="AD27" s="164" t="s">
        <v>51</v>
      </c>
      <c r="AE27" s="64">
        <f t="array" ref="AE27:AF28">MINVERSE(AB23:AC24)</f>
        <v>0.66666666666666663</v>
      </c>
      <c r="AF27" s="66">
        <v>-0.33333333333333331</v>
      </c>
      <c r="AG27" s="166" t="s">
        <v>41</v>
      </c>
      <c r="AH27" s="75">
        <f>AG23</f>
        <v>24415.481481481482</v>
      </c>
    </row>
    <row r="28" spans="1:35" ht="15.6" thickTop="1" thickBot="1" x14ac:dyDescent="0.35">
      <c r="O28" s="60"/>
      <c r="P28" s="70">
        <v>0.09</v>
      </c>
      <c r="Q28" s="72">
        <v>0.18</v>
      </c>
      <c r="R28" s="172"/>
      <c r="S28" s="74">
        <f>J12</f>
        <v>5477.8872002033277</v>
      </c>
      <c r="T28" s="174"/>
      <c r="U28" s="76">
        <f>$C$15 - F11</f>
        <v>5878</v>
      </c>
      <c r="V28" s="77">
        <f>-$B$27</f>
        <v>-1</v>
      </c>
      <c r="AA28" s="37"/>
      <c r="AB28" s="2" t="s">
        <v>63</v>
      </c>
      <c r="AC28" s="39">
        <v>8113.4074074074088</v>
      </c>
      <c r="AD28" s="165"/>
      <c r="AE28" s="70">
        <v>-0.33333333333333331</v>
      </c>
      <c r="AF28" s="72">
        <v>0.66666666666666663</v>
      </c>
      <c r="AG28" s="166"/>
      <c r="AH28" s="75">
        <f>AG24</f>
        <v>24377.851851851854</v>
      </c>
    </row>
    <row r="29" spans="1:35" x14ac:dyDescent="0.3">
      <c r="O29" s="60"/>
      <c r="T29" s="103" t="s">
        <v>42</v>
      </c>
      <c r="AA29" s="37"/>
    </row>
    <row r="30" spans="1:35" ht="15" thickBot="1" x14ac:dyDescent="0.35">
      <c r="O30" s="60"/>
      <c r="T30" s="163"/>
      <c r="AA30" s="37"/>
    </row>
    <row r="31" spans="1:35" ht="15.6" thickTop="1" thickBot="1" x14ac:dyDescent="0.35">
      <c r="O31" s="60"/>
      <c r="P31" s="2" t="s">
        <v>97</v>
      </c>
      <c r="Q31" s="39">
        <f t="array" ref="Q31:Q32">MMULT(T31:U32,W31:W32)</f>
        <v>21785.18518518519</v>
      </c>
      <c r="R31" s="39">
        <f t="array" ref="R31:R32">MMULT(T31:U32,X31:X32)</f>
        <v>-3.7037037037037046</v>
      </c>
      <c r="S31" s="164" t="s">
        <v>51</v>
      </c>
      <c r="T31" s="64">
        <f t="array" ref="T31:U32">MINVERSE(P27:Q28)</f>
        <v>7.4074074074074074</v>
      </c>
      <c r="U31" s="66">
        <v>-3.7037037037037028</v>
      </c>
      <c r="V31" s="166" t="s">
        <v>41</v>
      </c>
      <c r="W31" s="64">
        <f>U27</f>
        <v>5880</v>
      </c>
      <c r="X31" s="66">
        <f>V27</f>
        <v>-1</v>
      </c>
      <c r="AA31" s="37"/>
    </row>
    <row r="32" spans="1:35" ht="15.6" thickTop="1" thickBot="1" x14ac:dyDescent="0.35">
      <c r="O32" s="60"/>
      <c r="P32" s="2" t="s">
        <v>98</v>
      </c>
      <c r="Q32" s="39">
        <v>21762.962962962964</v>
      </c>
      <c r="R32" s="39">
        <v>-3.7037037037037033</v>
      </c>
      <c r="S32" s="165"/>
      <c r="T32" s="70">
        <v>-3.7037037037037033</v>
      </c>
      <c r="U32" s="72">
        <v>7.4074074074074066</v>
      </c>
      <c r="V32" s="166"/>
      <c r="W32" s="70">
        <f>U28</f>
        <v>5878</v>
      </c>
      <c r="X32" s="72">
        <f>V28</f>
        <v>-1</v>
      </c>
      <c r="AA32" s="37"/>
    </row>
    <row r="33" spans="15:27" ht="15" thickTop="1" x14ac:dyDescent="0.3">
      <c r="O33" s="60"/>
      <c r="AA33" s="37"/>
    </row>
    <row r="34" spans="15:27" x14ac:dyDescent="0.3">
      <c r="O34" s="60"/>
      <c r="P34" s="167" t="s">
        <v>100</v>
      </c>
      <c r="Q34" s="168"/>
      <c r="R34" s="168"/>
      <c r="S34" s="168"/>
      <c r="T34" s="168"/>
      <c r="U34" s="168"/>
      <c r="V34" s="168"/>
      <c r="W34" s="169"/>
      <c r="AA34" s="37"/>
    </row>
    <row r="35" spans="15:27" ht="15" thickBot="1" x14ac:dyDescent="0.35">
      <c r="O35" s="60"/>
      <c r="AA35" s="37"/>
    </row>
    <row r="36" spans="15:27" ht="15.6" thickTop="1" thickBot="1" x14ac:dyDescent="0.35">
      <c r="O36" s="60"/>
      <c r="P36" s="2" t="s">
        <v>99</v>
      </c>
      <c r="Q36" s="39">
        <f>(C16-G9)/(2*D16)</f>
        <v>17666.666666666668</v>
      </c>
      <c r="R36" s="39">
        <f>(-B27)/(2*D16)</f>
        <v>-3.3333333333333335</v>
      </c>
      <c r="AA36" s="37"/>
    </row>
    <row r="37" spans="15:27" ht="15" thickTop="1" x14ac:dyDescent="0.3">
      <c r="O37" s="60"/>
      <c r="AA37" s="37"/>
    </row>
    <row r="38" spans="15:27" x14ac:dyDescent="0.3">
      <c r="O38" s="60"/>
      <c r="P38" s="170" t="s">
        <v>101</v>
      </c>
      <c r="Q38" s="170"/>
      <c r="R38" s="170"/>
      <c r="S38" s="170"/>
      <c r="T38" s="170"/>
      <c r="U38" s="170"/>
      <c r="V38" s="170"/>
      <c r="W38" s="170"/>
      <c r="AA38" s="37"/>
    </row>
    <row r="39" spans="15:27" x14ac:dyDescent="0.3">
      <c r="O39" s="60"/>
      <c r="P39" s="9" t="s">
        <v>102</v>
      </c>
      <c r="Q39" s="9">
        <f>SUM(Q21:Q24)</f>
        <v>14908</v>
      </c>
      <c r="R39" s="9">
        <f>SUM(R21:R24)</f>
        <v>-3.2</v>
      </c>
      <c r="AA39" s="37"/>
    </row>
    <row r="40" spans="15:27" x14ac:dyDescent="0.3">
      <c r="O40" s="60"/>
      <c r="P40" s="40" t="s">
        <v>103</v>
      </c>
      <c r="Q40" s="40">
        <f>SUM(Q31:Q32)</f>
        <v>43548.148148148153</v>
      </c>
      <c r="R40" s="40">
        <f>SUM(R31:R32)</f>
        <v>-7.4074074074074083</v>
      </c>
      <c r="AA40" s="37"/>
    </row>
    <row r="41" spans="15:27" x14ac:dyDescent="0.3">
      <c r="O41" s="60"/>
      <c r="P41" s="41" t="s">
        <v>52</v>
      </c>
      <c r="Q41" s="41">
        <f>SUM(Q39:Q40)</f>
        <v>58456.148148148153</v>
      </c>
      <c r="R41" s="41">
        <f>SUM(R39:R40)</f>
        <v>-10.607407407407408</v>
      </c>
      <c r="AA41" s="37"/>
    </row>
    <row r="42" spans="15:27" x14ac:dyDescent="0.3">
      <c r="O42" s="60"/>
      <c r="AA42" s="37"/>
    </row>
    <row r="43" spans="15:27" ht="15" thickBot="1" x14ac:dyDescent="0.35">
      <c r="O43" s="60"/>
      <c r="P43" s="108" t="s">
        <v>104</v>
      </c>
      <c r="Q43" s="108"/>
      <c r="R43" s="108"/>
      <c r="S43" s="108"/>
      <c r="AA43" s="37"/>
    </row>
    <row r="44" spans="15:27" ht="15" thickBot="1" x14ac:dyDescent="0.35">
      <c r="O44" s="60"/>
      <c r="P44" s="78" t="s">
        <v>105</v>
      </c>
      <c r="Q44" s="79">
        <f>-Q41/R41</f>
        <v>5510.8798882681567</v>
      </c>
      <c r="R44" s="80">
        <f>J4/R41</f>
        <v>-1113.9094323230545</v>
      </c>
      <c r="AA44" s="37"/>
    </row>
    <row r="45" spans="15:27" ht="15" thickBot="1" x14ac:dyDescent="0.35">
      <c r="O45" s="60"/>
      <c r="P45" s="160" t="s">
        <v>107</v>
      </c>
      <c r="Q45" s="161"/>
      <c r="R45" s="161"/>
      <c r="S45" s="161"/>
      <c r="T45" s="161"/>
      <c r="U45" s="161"/>
      <c r="V45" s="161"/>
      <c r="W45" s="162"/>
      <c r="AA45" s="37"/>
    </row>
    <row r="46" spans="15:27" ht="15.6" thickTop="1" thickBot="1" x14ac:dyDescent="0.35">
      <c r="O46" s="60"/>
      <c r="P46" s="2" t="s">
        <v>43</v>
      </c>
      <c r="Q46" s="39">
        <f>(Q44-C9)/-(2/R41)</f>
        <v>25515.481481481482</v>
      </c>
      <c r="R46" s="39">
        <f>B27/(2/R41)</f>
        <v>-5.3037037037037038</v>
      </c>
      <c r="AA46" s="37"/>
    </row>
    <row r="47" spans="15:27" ht="15" thickTop="1" x14ac:dyDescent="0.3">
      <c r="O47" s="60"/>
      <c r="AA47" s="37"/>
    </row>
    <row r="48" spans="15:27" x14ac:dyDescent="0.3">
      <c r="O48" s="60"/>
      <c r="AA48" s="37"/>
    </row>
    <row r="49" spans="15:27" x14ac:dyDescent="0.3">
      <c r="O49" s="60"/>
      <c r="AA49" s="37"/>
    </row>
    <row r="50" spans="15:27" x14ac:dyDescent="0.3">
      <c r="O50" s="60"/>
      <c r="AA50" s="37"/>
    </row>
    <row r="51" spans="15:27" x14ac:dyDescent="0.3">
      <c r="O51" s="60"/>
      <c r="AA51" s="37"/>
    </row>
    <row r="52" spans="15:27" x14ac:dyDescent="0.3">
      <c r="O52" s="60"/>
      <c r="AA52" s="37"/>
    </row>
    <row r="53" spans="15:27" x14ac:dyDescent="0.3">
      <c r="O53" s="60"/>
      <c r="AA53" s="37"/>
    </row>
    <row r="54" spans="15:27" x14ac:dyDescent="0.3">
      <c r="O54" s="60"/>
      <c r="AA54" s="37"/>
    </row>
    <row r="55" spans="15:27" x14ac:dyDescent="0.3">
      <c r="O55" s="60"/>
      <c r="AA55" s="37"/>
    </row>
    <row r="56" spans="15:27" x14ac:dyDescent="0.3">
      <c r="O56" s="60"/>
      <c r="AA56" s="37"/>
    </row>
    <row r="57" spans="15:27" x14ac:dyDescent="0.3">
      <c r="O57" s="60"/>
      <c r="AA57" s="37"/>
    </row>
    <row r="58" spans="15:27" x14ac:dyDescent="0.3">
      <c r="O58" s="60"/>
      <c r="AA58" s="37"/>
    </row>
    <row r="59" spans="15:27" x14ac:dyDescent="0.3">
      <c r="O59" s="60"/>
      <c r="AA59" s="37"/>
    </row>
    <row r="60" spans="15:27" x14ac:dyDescent="0.3">
      <c r="O60" s="60"/>
      <c r="AA60" s="37"/>
    </row>
    <row r="61" spans="15:27" x14ac:dyDescent="0.3">
      <c r="O61" s="60"/>
      <c r="AA61" s="37"/>
    </row>
    <row r="62" spans="15:27" x14ac:dyDescent="0.3">
      <c r="O62" s="60"/>
      <c r="AA62" s="37"/>
    </row>
    <row r="63" spans="15:27" x14ac:dyDescent="0.3">
      <c r="O63" s="60"/>
      <c r="AA63" s="37"/>
    </row>
    <row r="64" spans="15:27" x14ac:dyDescent="0.3">
      <c r="O64" s="60"/>
      <c r="AA64" s="37"/>
    </row>
    <row r="65" spans="15:27" x14ac:dyDescent="0.3">
      <c r="O65" s="60"/>
      <c r="AA65" s="37"/>
    </row>
    <row r="66" spans="15:27" x14ac:dyDescent="0.3">
      <c r="O66" s="60"/>
      <c r="AA66" s="37"/>
    </row>
    <row r="67" spans="15:27" x14ac:dyDescent="0.3">
      <c r="O67" s="60"/>
      <c r="AA67" s="37"/>
    </row>
    <row r="68" spans="15:27" x14ac:dyDescent="0.3">
      <c r="O68" s="60"/>
      <c r="AA68" s="37"/>
    </row>
    <row r="69" spans="15:27" x14ac:dyDescent="0.3">
      <c r="O69" s="60"/>
      <c r="AA69" s="37"/>
    </row>
    <row r="70" spans="15:27" x14ac:dyDescent="0.3">
      <c r="O70" s="60"/>
      <c r="AA70" s="37"/>
    </row>
    <row r="71" spans="15:27" x14ac:dyDescent="0.3">
      <c r="O71" s="60"/>
      <c r="AA71" s="37"/>
    </row>
    <row r="72" spans="15:27" x14ac:dyDescent="0.3">
      <c r="O72" s="60"/>
      <c r="AA72" s="37"/>
    </row>
    <row r="73" spans="15:27" x14ac:dyDescent="0.3">
      <c r="O73" s="60"/>
      <c r="AA73" s="37"/>
    </row>
    <row r="74" spans="15:27" x14ac:dyDescent="0.3">
      <c r="O74" s="60"/>
      <c r="AA74" s="37"/>
    </row>
    <row r="75" spans="15:27" x14ac:dyDescent="0.3">
      <c r="O75" s="60"/>
      <c r="AA75" s="37"/>
    </row>
    <row r="76" spans="15:27" x14ac:dyDescent="0.3">
      <c r="O76" s="60"/>
      <c r="AA76" s="37"/>
    </row>
    <row r="77" spans="15:27" x14ac:dyDescent="0.3">
      <c r="O77" s="60"/>
      <c r="AA77" s="37"/>
    </row>
    <row r="78" spans="15:27" x14ac:dyDescent="0.3">
      <c r="O78" s="60"/>
      <c r="AA78" s="37"/>
    </row>
    <row r="79" spans="15:27" x14ac:dyDescent="0.3">
      <c r="O79" s="60"/>
      <c r="AA79" s="37"/>
    </row>
    <row r="80" spans="15:27" x14ac:dyDescent="0.3">
      <c r="O80" s="60"/>
      <c r="AA80" s="37"/>
    </row>
    <row r="81" spans="15:27" x14ac:dyDescent="0.3">
      <c r="O81" s="60"/>
      <c r="AA81" s="37"/>
    </row>
    <row r="82" spans="15:27" x14ac:dyDescent="0.3">
      <c r="O82" s="60"/>
      <c r="AA82" s="37"/>
    </row>
    <row r="83" spans="15:27" x14ac:dyDescent="0.3">
      <c r="O83" s="60"/>
      <c r="AA83" s="37"/>
    </row>
    <row r="84" spans="15:27" x14ac:dyDescent="0.3">
      <c r="O84" s="60"/>
      <c r="AA84" s="37"/>
    </row>
    <row r="85" spans="15:27" x14ac:dyDescent="0.3">
      <c r="O85" s="60"/>
      <c r="AA85" s="37"/>
    </row>
    <row r="86" spans="15:27" x14ac:dyDescent="0.3">
      <c r="O86" s="60"/>
      <c r="AA86" s="37"/>
    </row>
    <row r="87" spans="15:27" x14ac:dyDescent="0.3">
      <c r="O87" s="60"/>
      <c r="AA87" s="37"/>
    </row>
    <row r="88" spans="15:27" x14ac:dyDescent="0.3">
      <c r="O88" s="60"/>
      <c r="AA88" s="37"/>
    </row>
    <row r="89" spans="15:27" x14ac:dyDescent="0.3">
      <c r="O89" s="60"/>
      <c r="AA89" s="37"/>
    </row>
    <row r="90" spans="15:27" x14ac:dyDescent="0.3">
      <c r="O90" s="60"/>
      <c r="AA90" s="37"/>
    </row>
    <row r="91" spans="15:27" x14ac:dyDescent="0.3">
      <c r="O91" s="60"/>
      <c r="AA91" s="37"/>
    </row>
    <row r="92" spans="15:27" x14ac:dyDescent="0.3">
      <c r="O92" s="60"/>
      <c r="AA92" s="37"/>
    </row>
    <row r="93" spans="15:27" x14ac:dyDescent="0.3">
      <c r="O93" s="60"/>
      <c r="AA93" s="37"/>
    </row>
    <row r="94" spans="15:27" x14ac:dyDescent="0.3">
      <c r="O94" s="60"/>
      <c r="AA94" s="37"/>
    </row>
    <row r="95" spans="15:27" x14ac:dyDescent="0.3">
      <c r="O95" s="60"/>
      <c r="AA95" s="37"/>
    </row>
    <row r="96" spans="15:27" x14ac:dyDescent="0.3">
      <c r="O96" s="60"/>
      <c r="AA96" s="37"/>
    </row>
    <row r="97" spans="15:27" x14ac:dyDescent="0.3">
      <c r="O97" s="60"/>
      <c r="AA97" s="37"/>
    </row>
    <row r="98" spans="15:27" x14ac:dyDescent="0.3">
      <c r="O98" s="60"/>
    </row>
    <row r="99" spans="15:27" x14ac:dyDescent="0.3">
      <c r="O99" s="60"/>
    </row>
    <row r="100" spans="15:27" x14ac:dyDescent="0.3">
      <c r="O100" s="60"/>
    </row>
    <row r="101" spans="15:27" x14ac:dyDescent="0.3">
      <c r="O101" s="60"/>
    </row>
    <row r="102" spans="15:27" x14ac:dyDescent="0.3">
      <c r="O102" s="60"/>
    </row>
    <row r="103" spans="15:27" x14ac:dyDescent="0.3">
      <c r="O103" s="60"/>
    </row>
    <row r="104" spans="15:27" x14ac:dyDescent="0.3">
      <c r="O104" s="60"/>
    </row>
    <row r="105" spans="15:27" x14ac:dyDescent="0.3">
      <c r="O105" s="60"/>
    </row>
    <row r="106" spans="15:27" x14ac:dyDescent="0.3">
      <c r="O106" s="60"/>
    </row>
    <row r="107" spans="15:27" x14ac:dyDescent="0.3">
      <c r="O107" s="60"/>
    </row>
    <row r="108" spans="15:27" x14ac:dyDescent="0.3">
      <c r="O108" s="60"/>
    </row>
    <row r="109" spans="15:27" x14ac:dyDescent="0.3">
      <c r="O109" s="60"/>
    </row>
    <row r="110" spans="15:27" x14ac:dyDescent="0.3">
      <c r="O110" s="60"/>
    </row>
    <row r="111" spans="15:27" x14ac:dyDescent="0.3">
      <c r="O111" s="60"/>
    </row>
    <row r="112" spans="15:27" x14ac:dyDescent="0.3">
      <c r="O112" s="60"/>
    </row>
    <row r="113" spans="15:15" x14ac:dyDescent="0.3">
      <c r="O113" s="60"/>
    </row>
    <row r="114" spans="15:15" x14ac:dyDescent="0.3">
      <c r="O114" s="60"/>
    </row>
    <row r="115" spans="15:15" x14ac:dyDescent="0.3">
      <c r="O115" s="60"/>
    </row>
    <row r="116" spans="15:15" x14ac:dyDescent="0.3">
      <c r="O116" s="60"/>
    </row>
    <row r="117" spans="15:15" x14ac:dyDescent="0.3">
      <c r="O117" s="60"/>
    </row>
    <row r="118" spans="15:15" x14ac:dyDescent="0.3">
      <c r="O118" s="60"/>
    </row>
    <row r="119" spans="15:15" x14ac:dyDescent="0.3">
      <c r="O119" s="60"/>
    </row>
    <row r="120" spans="15:15" x14ac:dyDescent="0.3">
      <c r="O120" s="60"/>
    </row>
    <row r="121" spans="15:15" x14ac:dyDescent="0.3">
      <c r="O121" s="60"/>
    </row>
    <row r="122" spans="15:15" x14ac:dyDescent="0.3">
      <c r="O122" s="60"/>
    </row>
    <row r="123" spans="15:15" x14ac:dyDescent="0.3">
      <c r="O123" s="60"/>
    </row>
    <row r="124" spans="15:15" x14ac:dyDescent="0.3">
      <c r="O124" s="60"/>
    </row>
    <row r="125" spans="15:15" x14ac:dyDescent="0.3">
      <c r="O125" s="60"/>
    </row>
    <row r="126" spans="15:15" x14ac:dyDescent="0.3">
      <c r="O126" s="60"/>
    </row>
    <row r="127" spans="15:15" x14ac:dyDescent="0.3">
      <c r="O127" s="60"/>
    </row>
    <row r="128" spans="15:15" x14ac:dyDescent="0.3">
      <c r="O128" s="60"/>
    </row>
    <row r="129" spans="15:15" x14ac:dyDescent="0.3">
      <c r="O129" s="60"/>
    </row>
    <row r="130" spans="15:15" x14ac:dyDescent="0.3">
      <c r="O130" s="60"/>
    </row>
    <row r="131" spans="15:15" x14ac:dyDescent="0.3">
      <c r="O131" s="60"/>
    </row>
    <row r="132" spans="15:15" x14ac:dyDescent="0.3">
      <c r="O132" s="60"/>
    </row>
    <row r="133" spans="15:15" x14ac:dyDescent="0.3">
      <c r="O133" s="60"/>
    </row>
    <row r="134" spans="15:15" x14ac:dyDescent="0.3">
      <c r="O134" s="60"/>
    </row>
    <row r="135" spans="15:15" x14ac:dyDescent="0.3">
      <c r="O135" s="60"/>
    </row>
  </sheetData>
  <mergeCells count="63">
    <mergeCell ref="AB1:AI1"/>
    <mergeCell ref="A3:A6"/>
    <mergeCell ref="B3:B6"/>
    <mergeCell ref="C3:C6"/>
    <mergeCell ref="D3:D6"/>
    <mergeCell ref="E3:E6"/>
    <mergeCell ref="F3:F6"/>
    <mergeCell ref="G3:G6"/>
    <mergeCell ref="AC3:AD3"/>
    <mergeCell ref="AB4:AE4"/>
    <mergeCell ref="A1:G1"/>
    <mergeCell ref="I1:J1"/>
    <mergeCell ref="K1:L1"/>
    <mergeCell ref="M1:N1"/>
    <mergeCell ref="P1:Q1"/>
    <mergeCell ref="AH11:AH12"/>
    <mergeCell ref="AB6:AI6"/>
    <mergeCell ref="A7:G7"/>
    <mergeCell ref="AD7:AD8"/>
    <mergeCell ref="AF7:AF8"/>
    <mergeCell ref="A9:A12"/>
    <mergeCell ref="B9:B10"/>
    <mergeCell ref="C9:C12"/>
    <mergeCell ref="D9:D10"/>
    <mergeCell ref="F9:F10"/>
    <mergeCell ref="G9:G12"/>
    <mergeCell ref="AF9:AF10"/>
    <mergeCell ref="B11:B12"/>
    <mergeCell ref="D11:D12"/>
    <mergeCell ref="F11:F12"/>
    <mergeCell ref="AE11:AE12"/>
    <mergeCell ref="A13:A16"/>
    <mergeCell ref="E13:G16"/>
    <mergeCell ref="P14:W14"/>
    <mergeCell ref="AB14:AI14"/>
    <mergeCell ref="I15:J15"/>
    <mergeCell ref="T15:T18"/>
    <mergeCell ref="V15:V18"/>
    <mergeCell ref="AG27:AG28"/>
    <mergeCell ref="T19:T20"/>
    <mergeCell ref="AB19:AE19"/>
    <mergeCell ref="A21:D21"/>
    <mergeCell ref="S21:S24"/>
    <mergeCell ref="X21:X24"/>
    <mergeCell ref="AB22:AI22"/>
    <mergeCell ref="AD23:AD24"/>
    <mergeCell ref="AF23:AF24"/>
    <mergeCell ref="AF25:AF26"/>
    <mergeCell ref="P26:W26"/>
    <mergeCell ref="R27:R28"/>
    <mergeCell ref="T27:T28"/>
    <mergeCell ref="AD27:AD28"/>
    <mergeCell ref="R1:V1"/>
    <mergeCell ref="Q2:V3"/>
    <mergeCell ref="K22:L22"/>
    <mergeCell ref="J23:M23"/>
    <mergeCell ref="P45:W45"/>
    <mergeCell ref="T29:T30"/>
    <mergeCell ref="S31:S32"/>
    <mergeCell ref="V31:V32"/>
    <mergeCell ref="P34:W34"/>
    <mergeCell ref="P38:W38"/>
    <mergeCell ref="P43:S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3242-93F3-47D4-9C19-A9D032BAD021}">
  <dimension ref="A1:AJ135"/>
  <sheetViews>
    <sheetView zoomScaleNormal="100" workbookViewId="0">
      <selection activeCell="M26" sqref="M26"/>
    </sheetView>
  </sheetViews>
  <sheetFormatPr defaultRowHeight="14.4" x14ac:dyDescent="0.3"/>
  <cols>
    <col min="15" max="15" width="3.33203125" customWidth="1"/>
    <col min="27" max="27" width="2.109375" customWidth="1"/>
  </cols>
  <sheetData>
    <row r="1" spans="1:36" ht="15" thickBot="1" x14ac:dyDescent="0.35">
      <c r="A1" s="189" t="s">
        <v>0</v>
      </c>
      <c r="B1" s="189"/>
      <c r="C1" s="189"/>
      <c r="D1" s="189"/>
      <c r="E1" s="189"/>
      <c r="F1" s="189"/>
      <c r="G1" s="189"/>
      <c r="I1" s="205" t="s">
        <v>11</v>
      </c>
      <c r="J1" s="205"/>
      <c r="K1" s="206" t="s">
        <v>20</v>
      </c>
      <c r="L1" s="206"/>
      <c r="M1" s="195" t="s">
        <v>24</v>
      </c>
      <c r="N1" s="195"/>
      <c r="O1" s="60"/>
      <c r="P1" s="195" t="s">
        <v>24</v>
      </c>
      <c r="Q1" s="195"/>
      <c r="R1" s="153" t="s">
        <v>50</v>
      </c>
      <c r="S1" s="153"/>
      <c r="T1" s="153"/>
      <c r="U1" s="153"/>
      <c r="AA1" s="37"/>
      <c r="AB1" s="170" t="s">
        <v>101</v>
      </c>
      <c r="AC1" s="146"/>
      <c r="AD1" s="146"/>
      <c r="AE1" s="146"/>
      <c r="AF1" s="146"/>
      <c r="AG1" s="146"/>
      <c r="AH1" s="146"/>
      <c r="AI1" s="146"/>
    </row>
    <row r="2" spans="1:36" ht="17.399999999999999" thickTop="1" thickBot="1" x14ac:dyDescent="0.35">
      <c r="A2" s="2" t="s">
        <v>1</v>
      </c>
      <c r="B2" s="53" t="s">
        <v>2</v>
      </c>
      <c r="C2" s="53" t="s">
        <v>3</v>
      </c>
      <c r="D2" s="53" t="s">
        <v>4</v>
      </c>
      <c r="E2" s="53" t="s">
        <v>67</v>
      </c>
      <c r="F2" s="53" t="s">
        <v>66</v>
      </c>
      <c r="G2" s="53" t="s">
        <v>65</v>
      </c>
      <c r="I2" s="45" t="s">
        <v>12</v>
      </c>
      <c r="J2" s="51">
        <f>AC27</f>
        <v>8151.0370370370356</v>
      </c>
      <c r="K2" s="45" t="s">
        <v>21</v>
      </c>
      <c r="L2" s="44">
        <f>SUM(AC20:AE20)</f>
        <v>2583.0610236220473</v>
      </c>
      <c r="M2" s="46" t="s">
        <v>29</v>
      </c>
      <c r="N2" s="52">
        <v>0</v>
      </c>
      <c r="O2" s="60"/>
      <c r="P2" s="11" t="s">
        <v>29</v>
      </c>
      <c r="AA2" s="37"/>
      <c r="AB2" s="41" t="s">
        <v>53</v>
      </c>
      <c r="AC2" s="41">
        <f>Q36</f>
        <v>17666.666666666668</v>
      </c>
      <c r="AD2" s="41">
        <f>R36</f>
        <v>-3.3333333333333335</v>
      </c>
    </row>
    <row r="3" spans="1:36" ht="15.6" thickTop="1" thickBot="1" x14ac:dyDescent="0.35">
      <c r="A3" s="152" t="s">
        <v>5</v>
      </c>
      <c r="B3" s="135">
        <v>2</v>
      </c>
      <c r="C3" s="135">
        <v>1</v>
      </c>
      <c r="D3" s="135">
        <v>2</v>
      </c>
      <c r="E3" s="135">
        <v>4</v>
      </c>
      <c r="F3" s="135">
        <v>2</v>
      </c>
      <c r="G3" s="135">
        <v>1</v>
      </c>
      <c r="I3" s="45" t="s">
        <v>13</v>
      </c>
      <c r="J3" s="51">
        <f>AC28</f>
        <v>8113.4074074074088</v>
      </c>
      <c r="K3" s="45" t="s">
        <v>22</v>
      </c>
      <c r="L3" s="44">
        <v>0</v>
      </c>
      <c r="M3" s="47" t="s">
        <v>30</v>
      </c>
      <c r="N3" s="52">
        <v>0</v>
      </c>
      <c r="O3" s="60"/>
      <c r="P3" s="11" t="s">
        <v>30</v>
      </c>
      <c r="AA3" s="37"/>
      <c r="AC3" s="207" t="s">
        <v>42</v>
      </c>
      <c r="AD3" s="207"/>
    </row>
    <row r="4" spans="1:36" ht="15.6" thickTop="1" thickBot="1" x14ac:dyDescent="0.35">
      <c r="A4" s="152"/>
      <c r="B4" s="135"/>
      <c r="C4" s="135"/>
      <c r="D4" s="135"/>
      <c r="E4" s="135"/>
      <c r="F4" s="135"/>
      <c r="G4" s="135"/>
      <c r="I4" s="45" t="s">
        <v>14</v>
      </c>
      <c r="J4" s="51">
        <v>0</v>
      </c>
      <c r="K4" s="45" t="s">
        <v>23</v>
      </c>
      <c r="L4" s="44">
        <v>0</v>
      </c>
      <c r="M4" s="48" t="s">
        <v>31</v>
      </c>
      <c r="N4" s="52">
        <v>0</v>
      </c>
      <c r="O4" s="60"/>
      <c r="P4" s="11" t="s">
        <v>31</v>
      </c>
      <c r="Q4">
        <f t="shared" ref="Q4:Q13" si="0">J4</f>
        <v>0</v>
      </c>
      <c r="R4" s="8">
        <f>Q44</f>
        <v>5510.8798882681567</v>
      </c>
      <c r="S4" s="8">
        <f>R44</f>
        <v>0</v>
      </c>
      <c r="T4">
        <f>B27</f>
        <v>1</v>
      </c>
      <c r="U4">
        <f>C9</f>
        <v>700</v>
      </c>
      <c r="AA4" s="37"/>
      <c r="AB4" s="108" t="s">
        <v>104</v>
      </c>
      <c r="AC4" s="108"/>
      <c r="AD4" s="108"/>
      <c r="AE4" s="108"/>
    </row>
    <row r="5" spans="1:36" ht="15.6" thickTop="1" thickBot="1" x14ac:dyDescent="0.35">
      <c r="A5" s="152"/>
      <c r="B5" s="135"/>
      <c r="C5" s="135"/>
      <c r="D5" s="135"/>
      <c r="E5" s="135"/>
      <c r="F5" s="135"/>
      <c r="G5" s="135"/>
      <c r="I5" s="45" t="s">
        <v>18</v>
      </c>
      <c r="J5" s="51">
        <v>0</v>
      </c>
      <c r="K5" s="45" t="s">
        <v>77</v>
      </c>
      <c r="L5" s="44">
        <v>0</v>
      </c>
      <c r="M5" s="48" t="s">
        <v>35</v>
      </c>
      <c r="N5" s="52">
        <v>0</v>
      </c>
      <c r="O5" s="60"/>
      <c r="P5" s="11" t="s">
        <v>35</v>
      </c>
      <c r="Q5">
        <f t="shared" si="0"/>
        <v>0</v>
      </c>
      <c r="R5">
        <f>$AC$5</f>
        <v>5300</v>
      </c>
      <c r="S5">
        <f>$AD$5</f>
        <v>0</v>
      </c>
      <c r="T5">
        <f>$AE$5</f>
        <v>0</v>
      </c>
      <c r="U5">
        <f>$B$27</f>
        <v>1</v>
      </c>
      <c r="V5">
        <f>D9</f>
        <v>720</v>
      </c>
      <c r="AA5" s="37"/>
      <c r="AB5" s="78" t="s">
        <v>106</v>
      </c>
      <c r="AC5" s="75">
        <f>AC2/-AD2</f>
        <v>5300</v>
      </c>
      <c r="AD5" s="75">
        <f>J5/AD2</f>
        <v>0</v>
      </c>
      <c r="AE5" s="75">
        <f>J6/AD2</f>
        <v>0</v>
      </c>
    </row>
    <row r="6" spans="1:36" ht="15.6" thickTop="1" thickBot="1" x14ac:dyDescent="0.35">
      <c r="A6" s="152"/>
      <c r="B6" s="135"/>
      <c r="C6" s="135"/>
      <c r="D6" s="135"/>
      <c r="E6" s="135"/>
      <c r="F6" s="135"/>
      <c r="G6" s="135"/>
      <c r="I6" s="45" t="s">
        <v>19</v>
      </c>
      <c r="J6" s="51">
        <v>0</v>
      </c>
      <c r="K6" s="45" t="s">
        <v>78</v>
      </c>
      <c r="L6" s="44">
        <v>0</v>
      </c>
      <c r="M6" s="48" t="s">
        <v>36</v>
      </c>
      <c r="N6" s="52">
        <v>0</v>
      </c>
      <c r="O6" s="60"/>
      <c r="P6" s="11" t="s">
        <v>36</v>
      </c>
      <c r="Q6">
        <f t="shared" si="0"/>
        <v>0</v>
      </c>
      <c r="R6">
        <f>$AC$5</f>
        <v>5300</v>
      </c>
      <c r="S6">
        <f>$AD$5</f>
        <v>0</v>
      </c>
      <c r="T6">
        <f>$AE$5</f>
        <v>0</v>
      </c>
      <c r="U6">
        <f>$B$27</f>
        <v>1</v>
      </c>
      <c r="V6">
        <f>D11</f>
        <v>710</v>
      </c>
      <c r="AA6" s="37"/>
      <c r="AB6" s="167" t="s">
        <v>108</v>
      </c>
      <c r="AC6" s="203"/>
      <c r="AD6" s="203"/>
      <c r="AE6" s="203"/>
      <c r="AF6" s="114"/>
      <c r="AG6" s="203"/>
      <c r="AH6" s="203"/>
      <c r="AI6" s="204"/>
    </row>
    <row r="7" spans="1:36" ht="15.6" thickTop="1" thickBot="1" x14ac:dyDescent="0.35">
      <c r="A7" s="136" t="s">
        <v>6</v>
      </c>
      <c r="B7" s="136"/>
      <c r="C7" s="136"/>
      <c r="D7" s="136"/>
      <c r="E7" s="136"/>
      <c r="F7" s="136"/>
      <c r="G7" s="136"/>
      <c r="I7" s="45" t="s">
        <v>70</v>
      </c>
      <c r="J7" s="51">
        <v>0</v>
      </c>
      <c r="K7" s="45" t="s">
        <v>79</v>
      </c>
      <c r="L7" s="44">
        <v>0</v>
      </c>
      <c r="M7" s="48" t="s">
        <v>87</v>
      </c>
      <c r="N7" s="52">
        <v>0</v>
      </c>
      <c r="O7" s="60"/>
      <c r="P7" s="11" t="s">
        <v>87</v>
      </c>
      <c r="Q7" s="61">
        <f t="shared" si="0"/>
        <v>0</v>
      </c>
      <c r="R7" s="61">
        <f>$C$14</f>
        <v>5000</v>
      </c>
      <c r="S7" s="61">
        <f>$D$14</f>
        <v>0.25</v>
      </c>
      <c r="T7" s="61">
        <f>$J$19</f>
        <v>0</v>
      </c>
      <c r="U7" s="61">
        <f>$B$27</f>
        <v>1</v>
      </c>
      <c r="V7" s="61">
        <f>E9</f>
        <v>342</v>
      </c>
      <c r="AA7" s="37"/>
      <c r="AB7" s="64">
        <f t="array" ref="AB7:AC8">A22:B23</f>
        <v>2</v>
      </c>
      <c r="AC7" s="66">
        <v>1</v>
      </c>
      <c r="AD7" s="172" t="s">
        <v>41</v>
      </c>
      <c r="AE7" s="73">
        <f>J5</f>
        <v>0</v>
      </c>
      <c r="AF7" s="117" t="s">
        <v>51</v>
      </c>
      <c r="AG7" s="73">
        <f>($AC$5-D9)* -AD2</f>
        <v>15266.666666666668</v>
      </c>
      <c r="AH7" s="73">
        <f>B27*AD2</f>
        <v>-3.3333333333333335</v>
      </c>
    </row>
    <row r="8" spans="1:36" ht="15.6" thickBot="1" x14ac:dyDescent="0.4">
      <c r="A8" s="4"/>
      <c r="B8" s="18" t="s">
        <v>7</v>
      </c>
      <c r="C8" s="18" t="s">
        <v>8</v>
      </c>
      <c r="D8" s="18" t="s">
        <v>9</v>
      </c>
      <c r="E8" s="18" t="s">
        <v>68</v>
      </c>
      <c r="F8" s="18" t="s">
        <v>69</v>
      </c>
      <c r="G8" s="18" t="s">
        <v>68</v>
      </c>
      <c r="I8" s="45" t="s">
        <v>71</v>
      </c>
      <c r="J8" s="51">
        <v>0</v>
      </c>
      <c r="M8" s="48" t="s">
        <v>88</v>
      </c>
      <c r="N8" s="52">
        <v>0</v>
      </c>
      <c r="O8" s="60"/>
      <c r="P8" s="11" t="s">
        <v>88</v>
      </c>
      <c r="Q8" s="61">
        <f t="shared" si="0"/>
        <v>0</v>
      </c>
      <c r="R8" s="61">
        <f t="shared" ref="R8:R10" si="1">$C$14</f>
        <v>5000</v>
      </c>
      <c r="S8" s="61">
        <f t="shared" ref="S8:S10" si="2">$D$14</f>
        <v>0.25</v>
      </c>
      <c r="T8" s="61">
        <f>$J$19</f>
        <v>0</v>
      </c>
      <c r="U8" s="61">
        <f t="shared" ref="U8:U9" si="3">$B$27</f>
        <v>1</v>
      </c>
      <c r="V8" s="61">
        <f t="shared" ref="V8:V10" si="4">E10</f>
        <v>340</v>
      </c>
      <c r="AA8" s="37"/>
      <c r="AB8" s="70">
        <v>1</v>
      </c>
      <c r="AC8" s="72">
        <v>2</v>
      </c>
      <c r="AD8" s="172"/>
      <c r="AE8" s="73">
        <f>J6</f>
        <v>0</v>
      </c>
      <c r="AF8" s="111"/>
      <c r="AG8" s="74">
        <f>($AC$5-D11)* -AD2</f>
        <v>15300</v>
      </c>
      <c r="AH8" s="74">
        <f>B27*AD2</f>
        <v>-3.3333333333333335</v>
      </c>
    </row>
    <row r="9" spans="1:36" x14ac:dyDescent="0.3">
      <c r="A9" s="137" t="s">
        <v>10</v>
      </c>
      <c r="B9" s="140">
        <v>1500</v>
      </c>
      <c r="C9" s="180">
        <v>700</v>
      </c>
      <c r="D9" s="200">
        <v>720</v>
      </c>
      <c r="E9" s="56">
        <v>342</v>
      </c>
      <c r="F9" s="180">
        <v>120</v>
      </c>
      <c r="G9" s="197">
        <v>200</v>
      </c>
      <c r="I9" s="45" t="s">
        <v>72</v>
      </c>
      <c r="J9" s="51">
        <v>0</v>
      </c>
      <c r="M9" s="48" t="s">
        <v>89</v>
      </c>
      <c r="N9" s="52">
        <v>0</v>
      </c>
      <c r="O9" s="60"/>
      <c r="P9" s="11" t="s">
        <v>89</v>
      </c>
      <c r="Q9" s="61">
        <f t="shared" si="0"/>
        <v>0</v>
      </c>
      <c r="R9" s="61">
        <f t="shared" si="1"/>
        <v>5000</v>
      </c>
      <c r="S9" s="61">
        <f t="shared" si="2"/>
        <v>0.25</v>
      </c>
      <c r="T9" s="61">
        <f>$J$19</f>
        <v>0</v>
      </c>
      <c r="U9" s="61">
        <f t="shared" si="3"/>
        <v>1</v>
      </c>
      <c r="V9" s="61">
        <f t="shared" si="4"/>
        <v>338</v>
      </c>
      <c r="AA9" s="37"/>
      <c r="AF9" s="103" t="s">
        <v>42</v>
      </c>
    </row>
    <row r="10" spans="1:36" ht="15" thickBot="1" x14ac:dyDescent="0.35">
      <c r="A10" s="138"/>
      <c r="B10" s="141"/>
      <c r="C10" s="181"/>
      <c r="D10" s="201"/>
      <c r="E10" s="54">
        <v>340</v>
      </c>
      <c r="F10" s="141"/>
      <c r="G10" s="198"/>
      <c r="I10" s="45" t="s">
        <v>73</v>
      </c>
      <c r="J10" s="51">
        <v>0</v>
      </c>
      <c r="M10" s="48" t="s">
        <v>83</v>
      </c>
      <c r="N10" s="52">
        <v>0</v>
      </c>
      <c r="O10" s="60"/>
      <c r="P10" s="11" t="s">
        <v>83</v>
      </c>
      <c r="Q10" s="61">
        <f t="shared" si="0"/>
        <v>0</v>
      </c>
      <c r="R10" s="61">
        <f t="shared" si="1"/>
        <v>5000</v>
      </c>
      <c r="S10" s="61">
        <f t="shared" si="2"/>
        <v>0.25</v>
      </c>
      <c r="T10" s="61">
        <f>$J$19</f>
        <v>0</v>
      </c>
      <c r="U10" s="61">
        <f>$B$27</f>
        <v>1</v>
      </c>
      <c r="V10" s="61">
        <f t="shared" si="4"/>
        <v>345</v>
      </c>
      <c r="AA10" s="37"/>
      <c r="AF10" s="104"/>
    </row>
    <row r="11" spans="1:36" ht="15.6" thickTop="1" thickBot="1" x14ac:dyDescent="0.35">
      <c r="A11" s="138"/>
      <c r="B11" s="144">
        <v>1505</v>
      </c>
      <c r="C11" s="181"/>
      <c r="D11" s="202">
        <v>710</v>
      </c>
      <c r="E11" s="54">
        <v>338</v>
      </c>
      <c r="F11" s="144">
        <v>122</v>
      </c>
      <c r="G11" s="198"/>
      <c r="I11" s="45" t="s">
        <v>74</v>
      </c>
      <c r="J11" s="51">
        <v>0</v>
      </c>
      <c r="M11" s="48" t="s">
        <v>84</v>
      </c>
      <c r="N11" s="52">
        <v>0</v>
      </c>
      <c r="O11" s="60"/>
      <c r="P11" s="11" t="s">
        <v>84</v>
      </c>
      <c r="Q11" s="62">
        <f t="shared" si="0"/>
        <v>0</v>
      </c>
      <c r="R11" s="62">
        <f>$C$15</f>
        <v>6000</v>
      </c>
      <c r="S11" s="62">
        <f>$D$15</f>
        <v>0.09</v>
      </c>
      <c r="T11" s="62">
        <f>$J$20</f>
        <v>0</v>
      </c>
      <c r="U11" s="62">
        <f>$B$27</f>
        <v>1</v>
      </c>
      <c r="V11" s="62">
        <f>F9</f>
        <v>120</v>
      </c>
      <c r="AA11" s="37"/>
      <c r="AB11" s="2" t="s">
        <v>48</v>
      </c>
      <c r="AC11" s="39">
        <f t="array" ref="AC11:AC12">MMULT(AF11:AG12,AI11:AI12)</f>
        <v>5077.7777777777774</v>
      </c>
      <c r="AD11" s="39">
        <f t="array" ref="AD11:AD12">MMULT(AF11:AG12,AJ11:AJ12)</f>
        <v>-1.1111111111111112</v>
      </c>
      <c r="AE11" s="117" t="s">
        <v>51</v>
      </c>
      <c r="AF11" s="64">
        <f t="array" ref="AF11:AG12">MINVERSE(AB7:AC8)</f>
        <v>0.66666666666666663</v>
      </c>
      <c r="AG11" s="66">
        <v>-0.33333333333333331</v>
      </c>
      <c r="AH11" s="172" t="s">
        <v>41</v>
      </c>
      <c r="AI11" s="64">
        <f>AG7</f>
        <v>15266.666666666668</v>
      </c>
      <c r="AJ11" s="66">
        <f>AH7</f>
        <v>-3.3333333333333335</v>
      </c>
    </row>
    <row r="12" spans="1:36" ht="15.6" thickTop="1" thickBot="1" x14ac:dyDescent="0.35">
      <c r="A12" s="139"/>
      <c r="B12" s="144"/>
      <c r="C12" s="141"/>
      <c r="D12" s="202"/>
      <c r="E12" s="54">
        <v>345</v>
      </c>
      <c r="F12" s="144"/>
      <c r="G12" s="199"/>
      <c r="I12" s="45" t="s">
        <v>75</v>
      </c>
      <c r="J12" s="51">
        <v>0</v>
      </c>
      <c r="M12" s="48" t="s">
        <v>85</v>
      </c>
      <c r="N12" s="52">
        <v>0</v>
      </c>
      <c r="O12" s="60"/>
      <c r="P12" s="11" t="s">
        <v>85</v>
      </c>
      <c r="Q12" s="62">
        <f t="shared" si="0"/>
        <v>0</v>
      </c>
      <c r="R12" s="62">
        <f>$C$15</f>
        <v>6000</v>
      </c>
      <c r="S12" s="62">
        <f>$D$15</f>
        <v>0.09</v>
      </c>
      <c r="T12" s="62">
        <f>$J$20</f>
        <v>0</v>
      </c>
      <c r="U12" s="62">
        <f>$B$27</f>
        <v>1</v>
      </c>
      <c r="V12" s="62">
        <f>F11</f>
        <v>122</v>
      </c>
      <c r="AA12" s="37"/>
      <c r="AB12" s="2" t="s">
        <v>49</v>
      </c>
      <c r="AC12" s="39">
        <v>5111.1111111111113</v>
      </c>
      <c r="AD12" s="39">
        <v>-1.1111111111111112</v>
      </c>
      <c r="AE12" s="111"/>
      <c r="AF12" s="70">
        <v>-0.33333333333333331</v>
      </c>
      <c r="AG12" s="72">
        <v>0.66666666666666663</v>
      </c>
      <c r="AH12" s="172"/>
      <c r="AI12" s="70">
        <f>AG8</f>
        <v>15300</v>
      </c>
      <c r="AJ12" s="72">
        <f>AH8</f>
        <v>-3.3333333333333335</v>
      </c>
    </row>
    <row r="13" spans="1:36" ht="15" customHeight="1" thickTop="1" x14ac:dyDescent="0.3">
      <c r="A13" s="175" t="s">
        <v>37</v>
      </c>
      <c r="B13" s="25"/>
      <c r="C13" s="17" t="s">
        <v>38</v>
      </c>
      <c r="D13" s="55" t="s">
        <v>39</v>
      </c>
      <c r="E13" s="177"/>
      <c r="F13" s="177"/>
      <c r="G13" s="177"/>
      <c r="I13" s="45" t="s">
        <v>76</v>
      </c>
      <c r="J13" s="51">
        <v>0</v>
      </c>
      <c r="M13" s="48" t="s">
        <v>86</v>
      </c>
      <c r="N13" s="52">
        <v>0</v>
      </c>
      <c r="O13" s="60"/>
      <c r="P13" s="11" t="s">
        <v>86</v>
      </c>
      <c r="Q13" s="63">
        <f t="shared" si="0"/>
        <v>0</v>
      </c>
      <c r="R13" s="63">
        <f>C16</f>
        <v>5500</v>
      </c>
      <c r="S13" s="63">
        <f>D16</f>
        <v>0.15</v>
      </c>
      <c r="T13" s="63">
        <f>J21</f>
        <v>0</v>
      </c>
      <c r="U13" s="63">
        <f>$B$27</f>
        <v>1</v>
      </c>
      <c r="V13" s="63">
        <f>G9</f>
        <v>200</v>
      </c>
      <c r="AA13" s="37"/>
    </row>
    <row r="14" spans="1:36" ht="15" thickBot="1" x14ac:dyDescent="0.35">
      <c r="A14" s="176"/>
      <c r="B14" s="15">
        <v>1</v>
      </c>
      <c r="C14" s="16">
        <v>5000</v>
      </c>
      <c r="D14" s="21">
        <v>0.25</v>
      </c>
      <c r="E14" s="106"/>
      <c r="F14" s="106"/>
      <c r="G14" s="106"/>
      <c r="M14" s="7"/>
      <c r="O14" s="60"/>
      <c r="P14" s="167" t="s">
        <v>91</v>
      </c>
      <c r="Q14" s="203"/>
      <c r="R14" s="203"/>
      <c r="S14" s="203"/>
      <c r="T14" s="114"/>
      <c r="U14" s="203"/>
      <c r="V14" s="114"/>
      <c r="W14" s="204"/>
      <c r="AA14" s="37"/>
      <c r="AB14" s="170" t="s">
        <v>101</v>
      </c>
      <c r="AC14" s="146"/>
      <c r="AD14" s="146"/>
      <c r="AE14" s="146"/>
      <c r="AF14" s="146"/>
      <c r="AG14" s="146"/>
      <c r="AH14" s="146"/>
      <c r="AI14" s="146"/>
    </row>
    <row r="15" spans="1:36" ht="15.6" thickTop="1" thickBot="1" x14ac:dyDescent="0.35">
      <c r="A15" s="176"/>
      <c r="B15" s="22">
        <v>2</v>
      </c>
      <c r="C15" s="23">
        <v>6000</v>
      </c>
      <c r="D15" s="24">
        <v>0.09</v>
      </c>
      <c r="E15" s="106"/>
      <c r="F15" s="106"/>
      <c r="G15" s="106"/>
      <c r="I15" s="196" t="s">
        <v>25</v>
      </c>
      <c r="J15" s="196"/>
      <c r="O15" s="60"/>
      <c r="P15" s="64">
        <f t="array" ref="P15:S18">D14*A22:D25</f>
        <v>0.5</v>
      </c>
      <c r="Q15" s="65">
        <v>0.25</v>
      </c>
      <c r="R15" s="65">
        <v>0.25</v>
      </c>
      <c r="S15" s="66">
        <v>0.25</v>
      </c>
      <c r="T15" s="116" t="s">
        <v>47</v>
      </c>
      <c r="U15" s="73">
        <f>J7</f>
        <v>0</v>
      </c>
      <c r="V15" s="117" t="s">
        <v>51</v>
      </c>
      <c r="W15" s="73">
        <f>$C$14-E9</f>
        <v>4658</v>
      </c>
      <c r="X15" s="73">
        <f>-$B$27</f>
        <v>-1</v>
      </c>
      <c r="AA15" s="37"/>
      <c r="AB15" s="9" t="s">
        <v>52</v>
      </c>
      <c r="AC15" s="9">
        <f>Q46</f>
        <v>25515.481481481482</v>
      </c>
      <c r="AD15" s="9">
        <f>R46</f>
        <v>-5.3037037037037038</v>
      </c>
    </row>
    <row r="16" spans="1:36" ht="15.6" thickTop="1" thickBot="1" x14ac:dyDescent="0.35">
      <c r="A16" s="176"/>
      <c r="B16" s="22">
        <v>2</v>
      </c>
      <c r="C16" s="23">
        <v>5500</v>
      </c>
      <c r="D16" s="24">
        <v>0.15</v>
      </c>
      <c r="E16" s="106"/>
      <c r="F16" s="106"/>
      <c r="G16" s="106"/>
      <c r="I16" s="50" t="s">
        <v>26</v>
      </c>
      <c r="J16" s="14">
        <f>SUM(J2:J3)</f>
        <v>16264.444444444445</v>
      </c>
      <c r="O16" s="60"/>
      <c r="P16" s="67">
        <v>0.25</v>
      </c>
      <c r="Q16" s="68">
        <v>0.5</v>
      </c>
      <c r="R16" s="68">
        <v>0.25</v>
      </c>
      <c r="S16" s="69">
        <v>0.25</v>
      </c>
      <c r="T16" s="102"/>
      <c r="U16" s="73">
        <f t="shared" ref="U16:U18" si="5">J8</f>
        <v>0</v>
      </c>
      <c r="V16" s="111"/>
      <c r="W16" s="73">
        <f t="shared" ref="W16:W18" si="6">$C$14-E10</f>
        <v>4660</v>
      </c>
      <c r="X16" s="73">
        <f t="shared" ref="X16:X18" si="7">-$B$27</f>
        <v>-1</v>
      </c>
      <c r="AA16" s="37"/>
      <c r="AB16" s="40" t="s">
        <v>53</v>
      </c>
      <c r="AC16" s="40">
        <f>SUM(AC11:AC12)</f>
        <v>10188.888888888889</v>
      </c>
      <c r="AD16" s="40">
        <f>SUM(AD11:AD12)</f>
        <v>-2.2222222222222223</v>
      </c>
    </row>
    <row r="17" spans="1:35" ht="15" thickBot="1" x14ac:dyDescent="0.35">
      <c r="I17" s="50" t="s">
        <v>27</v>
      </c>
      <c r="J17" s="14">
        <f>J4</f>
        <v>0</v>
      </c>
      <c r="O17" s="60"/>
      <c r="P17" s="67">
        <v>0.25</v>
      </c>
      <c r="Q17" s="68">
        <v>0.25</v>
      </c>
      <c r="R17" s="68">
        <v>0.5</v>
      </c>
      <c r="S17" s="69">
        <v>0.25</v>
      </c>
      <c r="T17" s="102"/>
      <c r="U17" s="73">
        <f t="shared" si="5"/>
        <v>0</v>
      </c>
      <c r="V17" s="111"/>
      <c r="W17" s="73">
        <f t="shared" si="6"/>
        <v>4662</v>
      </c>
      <c r="X17" s="73">
        <f t="shared" si="7"/>
        <v>-1</v>
      </c>
      <c r="AA17" s="37"/>
      <c r="AB17" s="41" t="s">
        <v>54</v>
      </c>
      <c r="AC17" s="41">
        <f>SUM(AC15:AC16)</f>
        <v>35704.370370370372</v>
      </c>
      <c r="AD17" s="41">
        <f>SUM(AD15:AD16)</f>
        <v>-7.5259259259259261</v>
      </c>
    </row>
    <row r="18" spans="1:35" ht="15" thickBot="1" x14ac:dyDescent="0.35">
      <c r="I18" s="50" t="s">
        <v>28</v>
      </c>
      <c r="J18" s="14">
        <f>SUM(J5:J6)</f>
        <v>0</v>
      </c>
      <c r="O18" s="60"/>
      <c r="P18" s="70">
        <v>0.25</v>
      </c>
      <c r="Q18" s="71">
        <v>0.25</v>
      </c>
      <c r="R18" s="71">
        <v>0.25</v>
      </c>
      <c r="S18" s="72">
        <v>0.5</v>
      </c>
      <c r="T18" s="102"/>
      <c r="U18" s="75">
        <f t="shared" si="5"/>
        <v>0</v>
      </c>
      <c r="V18" s="111"/>
      <c r="W18" s="75">
        <f t="shared" si="6"/>
        <v>4655</v>
      </c>
      <c r="X18" s="75">
        <f t="shared" si="7"/>
        <v>-1</v>
      </c>
      <c r="AA18" s="37"/>
    </row>
    <row r="19" spans="1:35" ht="15" thickBot="1" x14ac:dyDescent="0.35">
      <c r="I19" s="50" t="s">
        <v>80</v>
      </c>
      <c r="J19" s="14">
        <f>SUM(J7:J10)</f>
        <v>0</v>
      </c>
      <c r="O19" s="60"/>
      <c r="T19" s="103" t="s">
        <v>42</v>
      </c>
      <c r="AA19" s="37"/>
      <c r="AB19" s="108" t="s">
        <v>104</v>
      </c>
      <c r="AC19" s="108"/>
      <c r="AD19" s="108"/>
      <c r="AE19" s="108"/>
    </row>
    <row r="20" spans="1:35" ht="15" thickBot="1" x14ac:dyDescent="0.35">
      <c r="I20" s="50" t="s">
        <v>81</v>
      </c>
      <c r="J20" s="14">
        <f>SUM(J11:J12)</f>
        <v>0</v>
      </c>
      <c r="O20" s="60"/>
      <c r="T20" s="104"/>
      <c r="AA20" s="37"/>
      <c r="AB20" s="78" t="s">
        <v>56</v>
      </c>
      <c r="AC20" s="75">
        <f>AC17/-AD17</f>
        <v>4744.1830708661419</v>
      </c>
      <c r="AD20" s="80">
        <f>J2/AD17</f>
        <v>-1083.0610236220471</v>
      </c>
      <c r="AE20" s="75">
        <f>J3/AD17</f>
        <v>-1078.0610236220473</v>
      </c>
    </row>
    <row r="21" spans="1:35" ht="15.6" thickTop="1" thickBot="1" x14ac:dyDescent="0.35">
      <c r="A21" s="127" t="s">
        <v>40</v>
      </c>
      <c r="B21" s="128"/>
      <c r="C21" s="128"/>
      <c r="D21" s="129"/>
      <c r="I21" s="50" t="s">
        <v>82</v>
      </c>
      <c r="J21" s="14">
        <f>J13</f>
        <v>0</v>
      </c>
      <c r="O21" s="60"/>
      <c r="P21" s="2" t="s">
        <v>92</v>
      </c>
      <c r="Q21" s="39">
        <f t="array" ref="Q21:Q24">MMULT(T21:W24,Y21:Y24)</f>
        <v>3723.9999999999964</v>
      </c>
      <c r="R21" s="39">
        <f t="array" ref="R21:R24">MMULT(T21:W24,Z21:Z24)</f>
        <v>-0.79999999999999938</v>
      </c>
      <c r="S21" s="112" t="s">
        <v>51</v>
      </c>
      <c r="T21" s="64">
        <f t="array" ref="T21:W24">MINVERSE(P15:S18)</f>
        <v>3.1999999999999997</v>
      </c>
      <c r="U21" s="65">
        <v>-0.80000000000000027</v>
      </c>
      <c r="V21" s="65">
        <v>-0.8</v>
      </c>
      <c r="W21" s="66">
        <v>-0.8</v>
      </c>
      <c r="X21" s="117" t="s">
        <v>47</v>
      </c>
      <c r="Y21" s="73">
        <f>W15</f>
        <v>4658</v>
      </c>
      <c r="Z21" s="73">
        <f>X15</f>
        <v>-1</v>
      </c>
      <c r="AA21" s="37"/>
    </row>
    <row r="22" spans="1:35" ht="15.6" thickTop="1" thickBot="1" x14ac:dyDescent="0.35">
      <c r="A22" s="27">
        <v>2</v>
      </c>
      <c r="B22" s="28">
        <v>1</v>
      </c>
      <c r="C22" s="28">
        <v>1</v>
      </c>
      <c r="D22" s="29">
        <v>1</v>
      </c>
      <c r="O22" s="60"/>
      <c r="P22" s="2" t="s">
        <v>93</v>
      </c>
      <c r="Q22" s="39">
        <v>3732.0000000000041</v>
      </c>
      <c r="R22" s="39">
        <v>-0.80000000000000104</v>
      </c>
      <c r="S22" s="112"/>
      <c r="T22" s="67">
        <v>-0.79999999999999982</v>
      </c>
      <c r="U22" s="68">
        <v>3.2000000000000006</v>
      </c>
      <c r="V22" s="68">
        <v>-0.79999999999999993</v>
      </c>
      <c r="W22" s="69">
        <v>-0.79999999999999993</v>
      </c>
      <c r="X22" s="112"/>
      <c r="Y22" s="73">
        <f t="shared" ref="Y22:Y24" si="8">W16</f>
        <v>4660</v>
      </c>
      <c r="Z22" s="73">
        <f t="shared" ref="Z22:Z24" si="9">X16</f>
        <v>-1</v>
      </c>
      <c r="AA22" s="37"/>
      <c r="AB22" s="167" t="s">
        <v>96</v>
      </c>
      <c r="AC22" s="203"/>
      <c r="AD22" s="203"/>
      <c r="AE22" s="203"/>
      <c r="AF22" s="114"/>
      <c r="AG22" s="203"/>
      <c r="AH22" s="203"/>
      <c r="AI22" s="204"/>
    </row>
    <row r="23" spans="1:35" ht="15.6" thickTop="1" thickBot="1" x14ac:dyDescent="0.35">
      <c r="A23" s="27">
        <v>1</v>
      </c>
      <c r="B23" s="28">
        <v>2</v>
      </c>
      <c r="C23" s="28">
        <v>1</v>
      </c>
      <c r="D23" s="29">
        <v>1</v>
      </c>
      <c r="O23" s="60"/>
      <c r="P23" s="2" t="s">
        <v>94</v>
      </c>
      <c r="Q23" s="39">
        <v>3740</v>
      </c>
      <c r="R23" s="39">
        <v>-0.79999999999999993</v>
      </c>
      <c r="S23" s="112"/>
      <c r="T23" s="67">
        <v>-0.80000000000000016</v>
      </c>
      <c r="U23" s="68">
        <v>-0.8</v>
      </c>
      <c r="V23" s="68">
        <v>3.2</v>
      </c>
      <c r="W23" s="69">
        <v>-0.80000000000000016</v>
      </c>
      <c r="X23" s="112"/>
      <c r="Y23" s="73">
        <f t="shared" si="8"/>
        <v>4662</v>
      </c>
      <c r="Z23" s="73">
        <f t="shared" si="9"/>
        <v>-1</v>
      </c>
      <c r="AA23" s="37"/>
      <c r="AB23" s="64">
        <f t="array" ref="AB23:AC24">A22:B23</f>
        <v>2</v>
      </c>
      <c r="AC23" s="66">
        <v>1</v>
      </c>
      <c r="AD23" s="172" t="s">
        <v>41</v>
      </c>
      <c r="AE23">
        <f>J2</f>
        <v>8151.0370370370356</v>
      </c>
      <c r="AF23" s="117" t="s">
        <v>51</v>
      </c>
      <c r="AG23" s="76">
        <f>(AC20-B9) *-AD17</f>
        <v>24415.481481481482</v>
      </c>
    </row>
    <row r="24" spans="1:35" ht="15.6" thickTop="1" thickBot="1" x14ac:dyDescent="0.35">
      <c r="A24" s="27">
        <v>1</v>
      </c>
      <c r="B24" s="28">
        <v>1</v>
      </c>
      <c r="C24" s="28">
        <v>2</v>
      </c>
      <c r="D24" s="29">
        <v>1</v>
      </c>
      <c r="O24" s="60"/>
      <c r="P24" s="2" t="s">
        <v>95</v>
      </c>
      <c r="Q24" s="39">
        <v>3712</v>
      </c>
      <c r="R24" s="39">
        <v>-0.79999999999999982</v>
      </c>
      <c r="S24" s="112"/>
      <c r="T24" s="70">
        <v>-0.8</v>
      </c>
      <c r="U24" s="71">
        <v>-0.79999999999999993</v>
      </c>
      <c r="V24" s="71">
        <v>-0.80000000000000016</v>
      </c>
      <c r="W24" s="72">
        <v>3.2</v>
      </c>
      <c r="X24" s="112"/>
      <c r="Y24" s="75">
        <f t="shared" si="8"/>
        <v>4655</v>
      </c>
      <c r="Z24" s="75">
        <f t="shared" si="9"/>
        <v>-1</v>
      </c>
      <c r="AA24" s="37"/>
      <c r="AB24" s="70">
        <v>1</v>
      </c>
      <c r="AC24" s="72">
        <v>2</v>
      </c>
      <c r="AD24" s="172"/>
      <c r="AE24">
        <f>J3</f>
        <v>8113.4074074074088</v>
      </c>
      <c r="AF24" s="111"/>
      <c r="AG24" s="76">
        <f>(AC20- B11) *-AD17</f>
        <v>24377.851851851854</v>
      </c>
    </row>
    <row r="25" spans="1:35" ht="15.6" thickTop="1" thickBot="1" x14ac:dyDescent="0.35">
      <c r="A25" s="30">
        <v>1</v>
      </c>
      <c r="B25" s="31">
        <v>1</v>
      </c>
      <c r="C25" s="31">
        <v>1</v>
      </c>
      <c r="D25" s="32">
        <v>2</v>
      </c>
      <c r="O25" s="60"/>
      <c r="AA25" s="37"/>
      <c r="AF25" s="103" t="s">
        <v>42</v>
      </c>
    </row>
    <row r="26" spans="1:35" ht="15" thickBot="1" x14ac:dyDescent="0.35">
      <c r="O26" s="60"/>
      <c r="P26" s="167" t="s">
        <v>96</v>
      </c>
      <c r="Q26" s="203"/>
      <c r="R26" s="203"/>
      <c r="S26" s="203"/>
      <c r="T26" s="114"/>
      <c r="U26" s="203"/>
      <c r="V26" s="203"/>
      <c r="W26" s="204"/>
      <c r="AA26" s="37"/>
      <c r="AF26" s="104"/>
    </row>
    <row r="27" spans="1:35" ht="15.6" thickTop="1" thickBot="1" x14ac:dyDescent="0.35">
      <c r="A27" s="58" t="s">
        <v>90</v>
      </c>
      <c r="B27" s="59">
        <v>1</v>
      </c>
      <c r="O27" s="60"/>
      <c r="P27" s="64">
        <f t="array" ref="P27:Q28">D15*A22:B23</f>
        <v>0.18</v>
      </c>
      <c r="Q27" s="66">
        <v>0.09</v>
      </c>
      <c r="R27" s="172" t="s">
        <v>41</v>
      </c>
      <c r="S27">
        <f>J11</f>
        <v>0</v>
      </c>
      <c r="T27" s="117" t="s">
        <v>51</v>
      </c>
      <c r="U27" s="76">
        <f>$C$15 - F9</f>
        <v>5880</v>
      </c>
      <c r="V27" s="77">
        <f>-$B$27</f>
        <v>-1</v>
      </c>
      <c r="AA27" s="37"/>
      <c r="AB27" s="2" t="s">
        <v>62</v>
      </c>
      <c r="AC27" s="39">
        <f t="array" ref="AC27:AC28">MMULT(AE27:AF28,AH27:AH28)</f>
        <v>8151.0370370370356</v>
      </c>
      <c r="AD27" s="117" t="s">
        <v>51</v>
      </c>
      <c r="AE27" s="64">
        <f t="array" ref="AE27:AF28">MINVERSE(AB23:AC24)</f>
        <v>0.66666666666666663</v>
      </c>
      <c r="AF27" s="66">
        <v>-0.33333333333333331</v>
      </c>
      <c r="AG27" s="172" t="s">
        <v>41</v>
      </c>
      <c r="AH27" s="75">
        <f>AG23</f>
        <v>24415.481481481482</v>
      </c>
    </row>
    <row r="28" spans="1:35" ht="15.6" thickTop="1" thickBot="1" x14ac:dyDescent="0.35">
      <c r="O28" s="60"/>
      <c r="P28" s="70">
        <v>0.09</v>
      </c>
      <c r="Q28" s="72">
        <v>0.18</v>
      </c>
      <c r="R28" s="172"/>
      <c r="S28">
        <f>J12</f>
        <v>0</v>
      </c>
      <c r="T28" s="111"/>
      <c r="U28" s="76">
        <f>$C$15 - F11</f>
        <v>5878</v>
      </c>
      <c r="V28" s="77">
        <f>-$B$27</f>
        <v>-1</v>
      </c>
      <c r="AA28" s="37"/>
      <c r="AB28" s="2" t="s">
        <v>63</v>
      </c>
      <c r="AC28" s="39">
        <v>8113.4074074074088</v>
      </c>
      <c r="AD28" s="111"/>
      <c r="AE28" s="70">
        <v>-0.33333333333333331</v>
      </c>
      <c r="AF28" s="72">
        <v>0.66666666666666663</v>
      </c>
      <c r="AG28" s="172"/>
      <c r="AH28" s="75">
        <f>AG24</f>
        <v>24377.851851851854</v>
      </c>
    </row>
    <row r="29" spans="1:35" x14ac:dyDescent="0.3">
      <c r="O29" s="60"/>
      <c r="T29" s="103" t="s">
        <v>42</v>
      </c>
      <c r="AA29" s="37"/>
    </row>
    <row r="30" spans="1:35" ht="15" thickBot="1" x14ac:dyDescent="0.35">
      <c r="O30" s="60"/>
      <c r="T30" s="104"/>
      <c r="AA30" s="37"/>
    </row>
    <row r="31" spans="1:35" ht="15.6" thickTop="1" thickBot="1" x14ac:dyDescent="0.35">
      <c r="O31" s="60"/>
      <c r="P31" s="2" t="s">
        <v>97</v>
      </c>
      <c r="Q31" s="39">
        <f t="array" ref="Q31:Q32">MMULT(T31:U32,W31:W32)</f>
        <v>21785.18518518519</v>
      </c>
      <c r="R31" s="39">
        <f t="array" ref="R31:R32">MMULT(T31:U32,X31:X32)</f>
        <v>-3.7037037037037046</v>
      </c>
      <c r="S31" s="117" t="s">
        <v>51</v>
      </c>
      <c r="T31" s="64">
        <f t="array" ref="T31:U32">MINVERSE(P27:Q28)</f>
        <v>7.4074074074074074</v>
      </c>
      <c r="U31" s="66">
        <v>-3.7037037037037028</v>
      </c>
      <c r="V31" s="172" t="s">
        <v>41</v>
      </c>
      <c r="W31" s="64">
        <f>U27</f>
        <v>5880</v>
      </c>
      <c r="X31" s="66">
        <f>V27</f>
        <v>-1</v>
      </c>
      <c r="AA31" s="37"/>
    </row>
    <row r="32" spans="1:35" ht="15.6" thickTop="1" thickBot="1" x14ac:dyDescent="0.35">
      <c r="O32" s="60"/>
      <c r="P32" s="2" t="s">
        <v>98</v>
      </c>
      <c r="Q32" s="39">
        <v>21762.962962962964</v>
      </c>
      <c r="R32" s="39">
        <v>-3.7037037037037033</v>
      </c>
      <c r="S32" s="111"/>
      <c r="T32" s="70">
        <v>-3.7037037037037033</v>
      </c>
      <c r="U32" s="72">
        <v>7.4074074074074066</v>
      </c>
      <c r="V32" s="172"/>
      <c r="W32" s="70">
        <f>U28</f>
        <v>5878</v>
      </c>
      <c r="X32" s="72">
        <f>V28</f>
        <v>-1</v>
      </c>
      <c r="AA32" s="37"/>
    </row>
    <row r="33" spans="15:27" ht="15" thickTop="1" x14ac:dyDescent="0.3">
      <c r="O33" s="60"/>
      <c r="AA33" s="37"/>
    </row>
    <row r="34" spans="15:27" x14ac:dyDescent="0.3">
      <c r="O34" s="60"/>
      <c r="P34" s="167" t="s">
        <v>100</v>
      </c>
      <c r="Q34" s="203"/>
      <c r="R34" s="203"/>
      <c r="S34" s="203"/>
      <c r="T34" s="114"/>
      <c r="U34" s="203"/>
      <c r="V34" s="203"/>
      <c r="W34" s="204"/>
      <c r="AA34" s="37"/>
    </row>
    <row r="35" spans="15:27" ht="15" thickBot="1" x14ac:dyDescent="0.35">
      <c r="O35" s="60"/>
      <c r="AA35" s="37"/>
    </row>
    <row r="36" spans="15:27" ht="15.6" thickTop="1" thickBot="1" x14ac:dyDescent="0.35">
      <c r="O36" s="60"/>
      <c r="P36" s="2" t="s">
        <v>99</v>
      </c>
      <c r="Q36" s="39">
        <f>(C16-G9)/(2*D16)</f>
        <v>17666.666666666668</v>
      </c>
      <c r="R36" s="39">
        <f>(-B27)/(2*D16)</f>
        <v>-3.3333333333333335</v>
      </c>
      <c r="AA36" s="37"/>
    </row>
    <row r="37" spans="15:27" ht="15" thickTop="1" x14ac:dyDescent="0.3">
      <c r="O37" s="60"/>
      <c r="AA37" s="37"/>
    </row>
    <row r="38" spans="15:27" x14ac:dyDescent="0.3">
      <c r="O38" s="60"/>
      <c r="P38" s="170" t="s">
        <v>101</v>
      </c>
      <c r="Q38" s="146"/>
      <c r="R38" s="146"/>
      <c r="S38" s="146"/>
      <c r="T38" s="146"/>
      <c r="U38" s="146"/>
      <c r="V38" s="146"/>
      <c r="W38" s="146"/>
      <c r="AA38" s="37"/>
    </row>
    <row r="39" spans="15:27" x14ac:dyDescent="0.3">
      <c r="O39" s="60"/>
      <c r="P39" s="9" t="s">
        <v>102</v>
      </c>
      <c r="Q39" s="9">
        <f>SUM(Q21:Q24)</f>
        <v>14908</v>
      </c>
      <c r="R39" s="9">
        <f>SUM(R21:R24)</f>
        <v>-3.2</v>
      </c>
      <c r="AA39" s="37"/>
    </row>
    <row r="40" spans="15:27" x14ac:dyDescent="0.3">
      <c r="O40" s="60"/>
      <c r="P40" s="40" t="s">
        <v>103</v>
      </c>
      <c r="Q40" s="40">
        <f>SUM(Q31:Q32)</f>
        <v>43548.148148148153</v>
      </c>
      <c r="R40" s="40">
        <f>SUM(R31:R32)</f>
        <v>-7.4074074074074083</v>
      </c>
      <c r="AA40" s="37"/>
    </row>
    <row r="41" spans="15:27" x14ac:dyDescent="0.3">
      <c r="O41" s="60"/>
      <c r="P41" s="41" t="s">
        <v>52</v>
      </c>
      <c r="Q41" s="41">
        <f>SUM(Q39:Q40)</f>
        <v>58456.148148148153</v>
      </c>
      <c r="R41" s="41">
        <f>SUM(R39:R40)</f>
        <v>-10.607407407407408</v>
      </c>
      <c r="AA41" s="37"/>
    </row>
    <row r="42" spans="15:27" x14ac:dyDescent="0.3">
      <c r="O42" s="60"/>
      <c r="AA42" s="37"/>
    </row>
    <row r="43" spans="15:27" ht="15" thickBot="1" x14ac:dyDescent="0.35">
      <c r="O43" s="60"/>
      <c r="P43" s="108" t="s">
        <v>104</v>
      </c>
      <c r="Q43" s="108"/>
      <c r="R43" s="108"/>
      <c r="S43" s="108"/>
      <c r="AA43" s="37"/>
    </row>
    <row r="44" spans="15:27" ht="15" thickBot="1" x14ac:dyDescent="0.35">
      <c r="O44" s="60"/>
      <c r="P44" s="78" t="s">
        <v>105</v>
      </c>
      <c r="Q44" s="79">
        <f>-Q41/R41</f>
        <v>5510.8798882681567</v>
      </c>
      <c r="R44" s="80">
        <f>J4/R41</f>
        <v>0</v>
      </c>
      <c r="AA44" s="37"/>
    </row>
    <row r="45" spans="15:27" ht="15" thickBot="1" x14ac:dyDescent="0.35">
      <c r="O45" s="60"/>
      <c r="P45" s="167" t="s">
        <v>107</v>
      </c>
      <c r="Q45" s="203"/>
      <c r="R45" s="203"/>
      <c r="S45" s="203"/>
      <c r="T45" s="114"/>
      <c r="U45" s="203"/>
      <c r="V45" s="203"/>
      <c r="W45" s="204"/>
      <c r="AA45" s="37"/>
    </row>
    <row r="46" spans="15:27" ht="15.6" thickTop="1" thickBot="1" x14ac:dyDescent="0.35">
      <c r="O46" s="60"/>
      <c r="P46" s="2" t="s">
        <v>43</v>
      </c>
      <c r="Q46" s="39">
        <f>(Q44-C9)/-(2/R41)</f>
        <v>25515.481481481482</v>
      </c>
      <c r="R46" s="39">
        <f>B27/(2/R41)</f>
        <v>-5.3037037037037038</v>
      </c>
      <c r="AA46" s="37"/>
    </row>
    <row r="47" spans="15:27" ht="15" thickTop="1" x14ac:dyDescent="0.3">
      <c r="O47" s="60"/>
      <c r="AA47" s="37"/>
    </row>
    <row r="48" spans="15:27" x14ac:dyDescent="0.3">
      <c r="O48" s="60"/>
      <c r="AA48" s="37"/>
    </row>
    <row r="49" spans="15:27" x14ac:dyDescent="0.3">
      <c r="O49" s="60"/>
      <c r="AA49" s="37"/>
    </row>
    <row r="50" spans="15:27" x14ac:dyDescent="0.3">
      <c r="O50" s="60"/>
      <c r="AA50" s="37"/>
    </row>
    <row r="51" spans="15:27" x14ac:dyDescent="0.3">
      <c r="O51" s="60"/>
      <c r="AA51" s="37"/>
    </row>
    <row r="52" spans="15:27" x14ac:dyDescent="0.3">
      <c r="O52" s="60"/>
      <c r="AA52" s="37"/>
    </row>
    <row r="53" spans="15:27" x14ac:dyDescent="0.3">
      <c r="O53" s="60"/>
      <c r="AA53" s="37"/>
    </row>
    <row r="54" spans="15:27" x14ac:dyDescent="0.3">
      <c r="O54" s="60"/>
      <c r="AA54" s="37"/>
    </row>
    <row r="55" spans="15:27" x14ac:dyDescent="0.3">
      <c r="O55" s="60"/>
      <c r="AA55" s="37"/>
    </row>
    <row r="56" spans="15:27" x14ac:dyDescent="0.3">
      <c r="O56" s="60"/>
      <c r="AA56" s="37"/>
    </row>
    <row r="57" spans="15:27" x14ac:dyDescent="0.3">
      <c r="O57" s="60"/>
      <c r="AA57" s="37"/>
    </row>
    <row r="58" spans="15:27" x14ac:dyDescent="0.3">
      <c r="O58" s="60"/>
      <c r="AA58" s="37"/>
    </row>
    <row r="59" spans="15:27" x14ac:dyDescent="0.3">
      <c r="O59" s="60"/>
      <c r="AA59" s="37"/>
    </row>
    <row r="60" spans="15:27" x14ac:dyDescent="0.3">
      <c r="O60" s="60"/>
      <c r="AA60" s="37"/>
    </row>
    <row r="61" spans="15:27" x14ac:dyDescent="0.3">
      <c r="O61" s="60"/>
      <c r="AA61" s="37"/>
    </row>
    <row r="62" spans="15:27" x14ac:dyDescent="0.3">
      <c r="O62" s="60"/>
      <c r="AA62" s="37"/>
    </row>
    <row r="63" spans="15:27" x14ac:dyDescent="0.3">
      <c r="O63" s="60"/>
      <c r="AA63" s="37"/>
    </row>
    <row r="64" spans="15:27" x14ac:dyDescent="0.3">
      <c r="O64" s="60"/>
      <c r="AA64" s="37"/>
    </row>
    <row r="65" spans="15:27" x14ac:dyDescent="0.3">
      <c r="O65" s="60"/>
      <c r="AA65" s="37"/>
    </row>
    <row r="66" spans="15:27" x14ac:dyDescent="0.3">
      <c r="O66" s="60"/>
      <c r="AA66" s="37"/>
    </row>
    <row r="67" spans="15:27" x14ac:dyDescent="0.3">
      <c r="O67" s="60"/>
      <c r="AA67" s="37"/>
    </row>
    <row r="68" spans="15:27" x14ac:dyDescent="0.3">
      <c r="O68" s="60"/>
      <c r="AA68" s="37"/>
    </row>
    <row r="69" spans="15:27" x14ac:dyDescent="0.3">
      <c r="O69" s="60"/>
      <c r="AA69" s="37"/>
    </row>
    <row r="70" spans="15:27" x14ac:dyDescent="0.3">
      <c r="O70" s="60"/>
      <c r="AA70" s="37"/>
    </row>
    <row r="71" spans="15:27" x14ac:dyDescent="0.3">
      <c r="O71" s="60"/>
      <c r="AA71" s="37"/>
    </row>
    <row r="72" spans="15:27" x14ac:dyDescent="0.3">
      <c r="O72" s="60"/>
      <c r="AA72" s="37"/>
    </row>
    <row r="73" spans="15:27" x14ac:dyDescent="0.3">
      <c r="O73" s="60"/>
      <c r="AA73" s="37"/>
    </row>
    <row r="74" spans="15:27" x14ac:dyDescent="0.3">
      <c r="O74" s="60"/>
      <c r="AA74" s="37"/>
    </row>
    <row r="75" spans="15:27" x14ac:dyDescent="0.3">
      <c r="O75" s="60"/>
      <c r="AA75" s="37"/>
    </row>
    <row r="76" spans="15:27" x14ac:dyDescent="0.3">
      <c r="O76" s="60"/>
      <c r="AA76" s="37"/>
    </row>
    <row r="77" spans="15:27" x14ac:dyDescent="0.3">
      <c r="O77" s="60"/>
      <c r="AA77" s="37"/>
    </row>
    <row r="78" spans="15:27" x14ac:dyDescent="0.3">
      <c r="O78" s="60"/>
      <c r="AA78" s="37"/>
    </row>
    <row r="79" spans="15:27" x14ac:dyDescent="0.3">
      <c r="O79" s="60"/>
      <c r="AA79" s="37"/>
    </row>
    <row r="80" spans="15:27" x14ac:dyDescent="0.3">
      <c r="O80" s="60"/>
      <c r="AA80" s="37"/>
    </row>
    <row r="81" spans="15:27" x14ac:dyDescent="0.3">
      <c r="O81" s="60"/>
      <c r="AA81" s="37"/>
    </row>
    <row r="82" spans="15:27" x14ac:dyDescent="0.3">
      <c r="O82" s="60"/>
      <c r="AA82" s="37"/>
    </row>
    <row r="83" spans="15:27" x14ac:dyDescent="0.3">
      <c r="O83" s="60"/>
      <c r="AA83" s="37"/>
    </row>
    <row r="84" spans="15:27" x14ac:dyDescent="0.3">
      <c r="O84" s="60"/>
      <c r="AA84" s="37"/>
    </row>
    <row r="85" spans="15:27" x14ac:dyDescent="0.3">
      <c r="O85" s="60"/>
      <c r="AA85" s="37"/>
    </row>
    <row r="86" spans="15:27" x14ac:dyDescent="0.3">
      <c r="O86" s="60"/>
      <c r="AA86" s="37"/>
    </row>
    <row r="87" spans="15:27" x14ac:dyDescent="0.3">
      <c r="O87" s="60"/>
      <c r="AA87" s="37"/>
    </row>
    <row r="88" spans="15:27" x14ac:dyDescent="0.3">
      <c r="O88" s="60"/>
      <c r="AA88" s="37"/>
    </row>
    <row r="89" spans="15:27" x14ac:dyDescent="0.3">
      <c r="O89" s="60"/>
      <c r="AA89" s="37"/>
    </row>
    <row r="90" spans="15:27" x14ac:dyDescent="0.3">
      <c r="O90" s="60"/>
      <c r="AA90" s="37"/>
    </row>
    <row r="91" spans="15:27" x14ac:dyDescent="0.3">
      <c r="O91" s="60"/>
      <c r="AA91" s="37"/>
    </row>
    <row r="92" spans="15:27" x14ac:dyDescent="0.3">
      <c r="O92" s="60"/>
      <c r="AA92" s="37"/>
    </row>
    <row r="93" spans="15:27" x14ac:dyDescent="0.3">
      <c r="O93" s="60"/>
      <c r="AA93" s="37"/>
    </row>
    <row r="94" spans="15:27" x14ac:dyDescent="0.3">
      <c r="O94" s="60"/>
      <c r="AA94" s="37"/>
    </row>
    <row r="95" spans="15:27" x14ac:dyDescent="0.3">
      <c r="O95" s="60"/>
      <c r="AA95" s="37"/>
    </row>
    <row r="96" spans="15:27" x14ac:dyDescent="0.3">
      <c r="O96" s="60"/>
      <c r="AA96" s="37"/>
    </row>
    <row r="97" spans="15:27" x14ac:dyDescent="0.3">
      <c r="O97" s="60"/>
      <c r="AA97" s="37"/>
    </row>
    <row r="98" spans="15:27" x14ac:dyDescent="0.3">
      <c r="O98" s="60"/>
    </row>
    <row r="99" spans="15:27" x14ac:dyDescent="0.3">
      <c r="O99" s="60"/>
    </row>
    <row r="100" spans="15:27" x14ac:dyDescent="0.3">
      <c r="O100" s="60"/>
    </row>
    <row r="101" spans="15:27" x14ac:dyDescent="0.3">
      <c r="O101" s="60"/>
    </row>
    <row r="102" spans="15:27" x14ac:dyDescent="0.3">
      <c r="O102" s="60"/>
    </row>
    <row r="103" spans="15:27" x14ac:dyDescent="0.3">
      <c r="O103" s="60"/>
    </row>
    <row r="104" spans="15:27" x14ac:dyDescent="0.3">
      <c r="O104" s="60"/>
    </row>
    <row r="105" spans="15:27" x14ac:dyDescent="0.3">
      <c r="O105" s="60"/>
    </row>
    <row r="106" spans="15:27" x14ac:dyDescent="0.3">
      <c r="O106" s="60"/>
    </row>
    <row r="107" spans="15:27" x14ac:dyDescent="0.3">
      <c r="O107" s="60"/>
    </row>
    <row r="108" spans="15:27" x14ac:dyDescent="0.3">
      <c r="O108" s="60"/>
    </row>
    <row r="109" spans="15:27" x14ac:dyDescent="0.3">
      <c r="O109" s="60"/>
    </row>
    <row r="110" spans="15:27" x14ac:dyDescent="0.3">
      <c r="O110" s="60"/>
    </row>
    <row r="111" spans="15:27" x14ac:dyDescent="0.3">
      <c r="O111" s="60"/>
    </row>
    <row r="112" spans="15:27" x14ac:dyDescent="0.3">
      <c r="O112" s="60"/>
    </row>
    <row r="113" spans="15:15" x14ac:dyDescent="0.3">
      <c r="O113" s="60"/>
    </row>
    <row r="114" spans="15:15" x14ac:dyDescent="0.3">
      <c r="O114" s="60"/>
    </row>
    <row r="115" spans="15:15" x14ac:dyDescent="0.3">
      <c r="O115" s="60"/>
    </row>
    <row r="116" spans="15:15" x14ac:dyDescent="0.3">
      <c r="O116" s="60"/>
    </row>
    <row r="117" spans="15:15" x14ac:dyDescent="0.3">
      <c r="O117" s="60"/>
    </row>
    <row r="118" spans="15:15" x14ac:dyDescent="0.3">
      <c r="O118" s="60"/>
    </row>
    <row r="119" spans="15:15" x14ac:dyDescent="0.3">
      <c r="O119" s="60"/>
    </row>
    <row r="120" spans="15:15" x14ac:dyDescent="0.3">
      <c r="O120" s="60"/>
    </row>
    <row r="121" spans="15:15" x14ac:dyDescent="0.3">
      <c r="O121" s="60"/>
    </row>
    <row r="122" spans="15:15" x14ac:dyDescent="0.3">
      <c r="O122" s="60"/>
    </row>
    <row r="123" spans="15:15" x14ac:dyDescent="0.3">
      <c r="O123" s="60"/>
    </row>
    <row r="124" spans="15:15" x14ac:dyDescent="0.3">
      <c r="O124" s="60"/>
    </row>
    <row r="125" spans="15:15" x14ac:dyDescent="0.3">
      <c r="O125" s="60"/>
    </row>
    <row r="126" spans="15:15" x14ac:dyDescent="0.3">
      <c r="O126" s="60"/>
    </row>
    <row r="127" spans="15:15" x14ac:dyDescent="0.3">
      <c r="O127" s="60"/>
    </row>
    <row r="128" spans="15:15" x14ac:dyDescent="0.3">
      <c r="O128" s="60"/>
    </row>
    <row r="129" spans="15:15" x14ac:dyDescent="0.3">
      <c r="O129" s="60"/>
    </row>
    <row r="130" spans="15:15" x14ac:dyDescent="0.3">
      <c r="O130" s="60"/>
    </row>
    <row r="131" spans="15:15" x14ac:dyDescent="0.3">
      <c r="O131" s="60"/>
    </row>
    <row r="132" spans="15:15" x14ac:dyDescent="0.3">
      <c r="O132" s="60"/>
    </row>
    <row r="133" spans="15:15" x14ac:dyDescent="0.3">
      <c r="O133" s="60"/>
    </row>
    <row r="134" spans="15:15" x14ac:dyDescent="0.3">
      <c r="O134" s="60"/>
    </row>
    <row r="135" spans="15:15" x14ac:dyDescent="0.3">
      <c r="O135" s="60"/>
    </row>
  </sheetData>
  <mergeCells count="60">
    <mergeCell ref="P45:W45"/>
    <mergeCell ref="AD7:AD8"/>
    <mergeCell ref="AF7:AF8"/>
    <mergeCell ref="AF9:AF10"/>
    <mergeCell ref="AE11:AE12"/>
    <mergeCell ref="AB14:AI14"/>
    <mergeCell ref="AB19:AE19"/>
    <mergeCell ref="AB22:AI22"/>
    <mergeCell ref="AD23:AD24"/>
    <mergeCell ref="AF23:AF24"/>
    <mergeCell ref="AF25:AF26"/>
    <mergeCell ref="AD27:AD28"/>
    <mergeCell ref="AG27:AG28"/>
    <mergeCell ref="P34:W34"/>
    <mergeCell ref="P38:W38"/>
    <mergeCell ref="P43:S43"/>
    <mergeCell ref="AB1:AI1"/>
    <mergeCell ref="AC3:AD3"/>
    <mergeCell ref="AB4:AE4"/>
    <mergeCell ref="AB6:AI6"/>
    <mergeCell ref="AH11:AH12"/>
    <mergeCell ref="P26:W26"/>
    <mergeCell ref="R27:R28"/>
    <mergeCell ref="T27:T28"/>
    <mergeCell ref="T29:T30"/>
    <mergeCell ref="S31:S32"/>
    <mergeCell ref="V31:V32"/>
    <mergeCell ref="T15:T18"/>
    <mergeCell ref="V15:V18"/>
    <mergeCell ref="T19:T20"/>
    <mergeCell ref="S21:S24"/>
    <mergeCell ref="X21:X24"/>
    <mergeCell ref="P1:Q1"/>
    <mergeCell ref="R1:U1"/>
    <mergeCell ref="P14:W14"/>
    <mergeCell ref="I1:J1"/>
    <mergeCell ref="K1:L1"/>
    <mergeCell ref="M1:N1"/>
    <mergeCell ref="E3:E6"/>
    <mergeCell ref="F3:F6"/>
    <mergeCell ref="G3:G6"/>
    <mergeCell ref="A1:G1"/>
    <mergeCell ref="A7:G7"/>
    <mergeCell ref="A3:A6"/>
    <mergeCell ref="B3:B6"/>
    <mergeCell ref="C3:C6"/>
    <mergeCell ref="D3:D6"/>
    <mergeCell ref="I15:J15"/>
    <mergeCell ref="F11:F12"/>
    <mergeCell ref="G9:G12"/>
    <mergeCell ref="E13:G16"/>
    <mergeCell ref="A21:D21"/>
    <mergeCell ref="A13:A16"/>
    <mergeCell ref="C9:C12"/>
    <mergeCell ref="F9:F10"/>
    <mergeCell ref="A9:A12"/>
    <mergeCell ref="B9:B10"/>
    <mergeCell ref="D9:D10"/>
    <mergeCell ref="B11:B12"/>
    <mergeCell ref="D11:D12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1задача(Децентрал)</vt:lpstr>
      <vt:lpstr>2задача(Децентрал)</vt:lpstr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Чепусов</dc:creator>
  <cp:lastModifiedBy>Владислав Чепусов</cp:lastModifiedBy>
  <dcterms:created xsi:type="dcterms:W3CDTF">2015-06-05T18:19:34Z</dcterms:created>
  <dcterms:modified xsi:type="dcterms:W3CDTF">2021-11-10T11:28:24Z</dcterms:modified>
</cp:coreProperties>
</file>