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Uni\Brightness\Brightness_Summary\"/>
    </mc:Choice>
  </mc:AlternateContent>
  <xr:revisionPtr revIDLastSave="0" documentId="13_ncr:1_{FB16CB8E-B725-4A5C-89E7-12155D0F0DE7}" xr6:coauthVersionLast="47" xr6:coauthVersionMax="47" xr10:uidLastSave="{00000000-0000-0000-0000-000000000000}"/>
  <bookViews>
    <workbookView xWindow="-108" yWindow="-108" windowWidth="23256" windowHeight="12456" tabRatio="797" firstSheet="3" activeTab="5" xr2:uid="{39852592-F389-4DA7-9300-4F40F74F73E5}"/>
  </bookViews>
  <sheets>
    <sheet name="Original_data" sheetId="4" r:id="rId1"/>
    <sheet name="CNN &amp; Size Comparison" sheetId="1" r:id="rId2"/>
    <sheet name="Balance&amp;Type Comparison" sheetId="2" r:id="rId3"/>
    <sheet name="Size_comp" sheetId="6" r:id="rId4"/>
    <sheet name="3 CNNs Without Premodel" sheetId="12" r:id="rId5"/>
    <sheet name="20 categories &amp; dataset mapping" sheetId="13" r:id="rId6"/>
    <sheet name="Bal_Unbal Car_related" sheetId="10" r:id="rId7"/>
    <sheet name="car_related and usual" sheetId="11" r:id="rId8"/>
    <sheet name="Top-1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3" l="1"/>
  <c r="H40" i="13"/>
  <c r="G41" i="13"/>
  <c r="G40" i="13"/>
  <c r="F41" i="13"/>
  <c r="F40" i="13"/>
  <c r="E41" i="13"/>
  <c r="E40" i="13"/>
  <c r="D41" i="13"/>
  <c r="D40" i="13"/>
  <c r="C41" i="13"/>
  <c r="C40" i="13"/>
  <c r="B41" i="13"/>
  <c r="B40" i="13"/>
  <c r="C39" i="13"/>
  <c r="C38" i="13"/>
  <c r="C37" i="13"/>
  <c r="C36" i="13"/>
  <c r="C35" i="13"/>
  <c r="C34" i="13"/>
  <c r="O13" i="13"/>
  <c r="O12" i="13"/>
  <c r="K13" i="13"/>
  <c r="K12" i="13"/>
  <c r="J13" i="13"/>
  <c r="J12" i="13"/>
  <c r="F13" i="13"/>
  <c r="F12" i="13"/>
  <c r="E13" i="13"/>
  <c r="E12" i="13"/>
  <c r="V12" i="13" s="1"/>
  <c r="V9" i="13"/>
  <c r="V10" i="13"/>
  <c r="V11" i="13"/>
  <c r="V13" i="13"/>
  <c r="V8" i="13"/>
  <c r="J8" i="13"/>
  <c r="O11" i="13"/>
  <c r="O10" i="13"/>
  <c r="K11" i="13"/>
  <c r="K10" i="13"/>
  <c r="J11" i="13"/>
  <c r="J10" i="13"/>
  <c r="F11" i="13"/>
  <c r="F10" i="13"/>
  <c r="E11" i="13"/>
  <c r="E10" i="13"/>
  <c r="O9" i="13"/>
  <c r="O8" i="13"/>
  <c r="K9" i="13"/>
  <c r="K8" i="13"/>
  <c r="J9" i="13"/>
  <c r="F9" i="13"/>
  <c r="F8" i="13"/>
  <c r="E9" i="13"/>
  <c r="E8" i="13"/>
  <c r="S13" i="13"/>
  <c r="S12" i="13"/>
  <c r="S11" i="13"/>
  <c r="S10" i="13"/>
  <c r="S9" i="13"/>
  <c r="S8" i="13"/>
  <c r="P13" i="13"/>
  <c r="P12" i="13"/>
  <c r="P11" i="13"/>
  <c r="P10" i="13"/>
  <c r="P9" i="13"/>
  <c r="P8" i="13"/>
  <c r="N13" i="13"/>
  <c r="N12" i="13"/>
  <c r="N11" i="13"/>
  <c r="N10" i="13"/>
  <c r="N9" i="13"/>
  <c r="N8" i="13"/>
  <c r="I13" i="13"/>
  <c r="I12" i="13"/>
  <c r="I11" i="13"/>
  <c r="I10" i="13"/>
  <c r="I8" i="13"/>
  <c r="I9" i="13"/>
  <c r="D13" i="13"/>
  <c r="D12" i="13"/>
  <c r="D8" i="13"/>
  <c r="D11" i="13"/>
  <c r="D10" i="13"/>
  <c r="D9" i="13"/>
  <c r="T10" i="13"/>
  <c r="T13" i="13"/>
  <c r="T12" i="13"/>
  <c r="T11" i="13"/>
  <c r="T9" i="13"/>
  <c r="T8" i="13"/>
  <c r="R13" i="13"/>
  <c r="R12" i="13"/>
  <c r="R11" i="13"/>
  <c r="R10" i="13"/>
  <c r="R9" i="13"/>
  <c r="R8" i="13"/>
  <c r="M13" i="13"/>
  <c r="M12" i="13"/>
  <c r="M11" i="13"/>
  <c r="M10" i="13"/>
  <c r="M9" i="13"/>
  <c r="M8" i="13"/>
  <c r="H13" i="13"/>
  <c r="H12" i="13"/>
  <c r="H11" i="13"/>
  <c r="H10" i="13"/>
  <c r="H9" i="13"/>
  <c r="H8" i="13"/>
  <c r="C13" i="13"/>
  <c r="C12" i="13"/>
  <c r="C11" i="13"/>
  <c r="C10" i="13"/>
  <c r="C9" i="13"/>
  <c r="C8" i="13"/>
  <c r="C29" i="6"/>
  <c r="C28" i="6"/>
  <c r="C27" i="6"/>
  <c r="C26" i="6"/>
  <c r="C25" i="6"/>
  <c r="E28" i="11"/>
  <c r="E29" i="11"/>
  <c r="E30" i="11"/>
  <c r="E31" i="11"/>
  <c r="E32" i="11"/>
  <c r="D29" i="11"/>
  <c r="D30" i="11"/>
  <c r="D31" i="11"/>
  <c r="D32" i="11"/>
  <c r="D28" i="11"/>
  <c r="C28" i="11"/>
  <c r="C29" i="11"/>
  <c r="C30" i="11"/>
  <c r="C31" i="11"/>
  <c r="C32" i="11"/>
  <c r="B29" i="11"/>
  <c r="B30" i="11"/>
  <c r="B31" i="11"/>
  <c r="B32" i="11"/>
  <c r="B28" i="11"/>
  <c r="S20" i="6"/>
  <c r="S19" i="6"/>
  <c r="S18" i="6"/>
  <c r="S17" i="6"/>
  <c r="S16" i="6"/>
  <c r="C20" i="6"/>
  <c r="C19" i="6"/>
  <c r="C18" i="6"/>
  <c r="C17" i="6"/>
  <c r="C16" i="6"/>
  <c r="E7" i="6"/>
  <c r="C7" i="6"/>
  <c r="E6" i="6"/>
  <c r="C6" i="6"/>
  <c r="E5" i="6"/>
  <c r="C5" i="6"/>
  <c r="E4" i="6"/>
  <c r="C4" i="6"/>
  <c r="E3" i="6"/>
  <c r="C3" i="6"/>
  <c r="F7" i="4"/>
  <c r="E7" i="4"/>
  <c r="F6" i="4"/>
  <c r="E6" i="4"/>
  <c r="F5" i="4"/>
  <c r="E5" i="4"/>
  <c r="F4" i="4"/>
  <c r="E4" i="4"/>
  <c r="F3" i="4"/>
  <c r="E3" i="4"/>
  <c r="D7" i="2"/>
  <c r="B7" i="2"/>
  <c r="D6" i="2"/>
  <c r="B6" i="2"/>
  <c r="D5" i="2"/>
  <c r="B5" i="2"/>
  <c r="D4" i="2"/>
  <c r="B4" i="2"/>
  <c r="D3" i="2"/>
  <c r="B3" i="2"/>
  <c r="J15" i="1"/>
  <c r="I15" i="1"/>
  <c r="J14" i="1"/>
  <c r="I14" i="1"/>
  <c r="J13" i="1"/>
  <c r="I13" i="1"/>
  <c r="J12" i="1"/>
  <c r="I12" i="1"/>
  <c r="J11" i="1"/>
  <c r="I11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<sst xmlns="http://schemas.openxmlformats.org/spreadsheetml/2006/main" count="352" uniqueCount="67">
  <si>
    <t>1k Balanced</t>
  </si>
  <si>
    <t>13k Balanced</t>
  </si>
  <si>
    <t>0.95k Car-Related</t>
  </si>
  <si>
    <t>Accuracy</t>
  </si>
  <si>
    <t>Premodel</t>
  </si>
  <si>
    <t>Top-1</t>
  </si>
  <si>
    <t>Top-5</t>
  </si>
  <si>
    <t>MobileNet</t>
  </si>
  <si>
    <t>Inception</t>
  </si>
  <si>
    <t>ResNet</t>
  </si>
  <si>
    <t xml:space="preserve">1k </t>
  </si>
  <si>
    <t>13k</t>
  </si>
  <si>
    <t>Unbal</t>
  </si>
  <si>
    <t>Balanced</t>
  </si>
  <si>
    <t>Unbalanced</t>
  </si>
  <si>
    <t>Car-Related</t>
  </si>
  <si>
    <t>Balanced avg</t>
  </si>
  <si>
    <t>Unbalanced avg</t>
  </si>
  <si>
    <t>Car-related</t>
  </si>
  <si>
    <t>M-R</t>
  </si>
  <si>
    <t>M-I</t>
  </si>
  <si>
    <t>1k</t>
  </si>
  <si>
    <t>bal</t>
  </si>
  <si>
    <t>1k Unbal</t>
  </si>
  <si>
    <t>Bal</t>
  </si>
  <si>
    <t>1k Bal</t>
  </si>
  <si>
    <t>Failed</t>
  </si>
  <si>
    <t>Not car-related</t>
  </si>
  <si>
    <t xml:space="preserve"> </t>
  </si>
  <si>
    <t>Bal Car-related</t>
  </si>
  <si>
    <t>Unbal Car-related</t>
  </si>
  <si>
    <t xml:space="preserve">Top-1 </t>
  </si>
  <si>
    <t>Bal Car-Related</t>
  </si>
  <si>
    <t>Unal Car-related</t>
  </si>
  <si>
    <t>1k Unbalanced</t>
  </si>
  <si>
    <t>Resnet</t>
  </si>
  <si>
    <t>min</t>
  </si>
  <si>
    <t>max</t>
  </si>
  <si>
    <t>MobileNet Top-1</t>
  </si>
  <si>
    <t>MobileNet Top-5</t>
  </si>
  <si>
    <t>Inception Top-1</t>
  </si>
  <si>
    <t>Inception Top-5</t>
  </si>
  <si>
    <t>ResNet Top-1</t>
  </si>
  <si>
    <t>ResNet Top-5</t>
  </si>
  <si>
    <t>Category</t>
  </si>
  <si>
    <t>Category 11</t>
  </si>
  <si>
    <t>Category 1</t>
  </si>
  <si>
    <t>Category 20</t>
  </si>
  <si>
    <t>Mnet</t>
  </si>
  <si>
    <t>Category 2</t>
  </si>
  <si>
    <t>Category 4</t>
  </si>
  <si>
    <t>Brightness Level</t>
  </si>
  <si>
    <t>100% (Category 11)</t>
  </si>
  <si>
    <t>75% (Category 4)</t>
  </si>
  <si>
    <t>Category 15</t>
  </si>
  <si>
    <t>2-59 (Category 1)</t>
  </si>
  <si>
    <t>95-100 (Category 6)</t>
  </si>
  <si>
    <t>115-119 (Category 11)</t>
  </si>
  <si>
    <t>130-135 (Category 15)</t>
  </si>
  <si>
    <t>174-245 (Category 20)</t>
  </si>
  <si>
    <t>Reduced Brightness</t>
  </si>
  <si>
    <t>Categories</t>
  </si>
  <si>
    <t>25% (Category 1: Second 1k)</t>
  </si>
  <si>
    <t>10% (Category 1: First 200)</t>
  </si>
  <si>
    <t>Premodel Top-1</t>
  </si>
  <si>
    <t>Premodel Top-5</t>
  </si>
  <si>
    <t>50% (Category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</si>
</sst>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0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0" borderId="5" xfId="0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6" xfId="0" applyBorder="1"/>
    <xf numFmtId="0" fontId="0" fillId="2" borderId="7" xfId="0" applyFill="1" applyBorder="1"/>
    <xf numFmtId="0" fontId="0" fillId="0" borderId="4" xfId="0" applyBorder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'CNN &amp; Size Comparison'!$E$17:$E$18</c:f>
              <c:strCache>
                <c:ptCount val="2"/>
                <c:pt idx="0">
                  <c:v>ResNet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Comparison'!$E$19:$E$23</c:f>
              <c:numCache>
                <c:formatCode>0.0%</c:formatCode>
                <c:ptCount val="5"/>
                <c:pt idx="0">
                  <c:v>0.46700000000000003</c:v>
                </c:pt>
                <c:pt idx="1">
                  <c:v>0.47199999999999998</c:v>
                </c:pt>
                <c:pt idx="2">
                  <c:v>0.49099999999999999</c:v>
                </c:pt>
                <c:pt idx="3">
                  <c:v>0.49299999999999999</c:v>
                </c:pt>
                <c:pt idx="4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D-4FA8-BBBB-1D6C813CE713}"/>
            </c:ext>
          </c:extLst>
        </c:ser>
        <c:ser>
          <c:idx val="1"/>
          <c:order val="1"/>
          <c:tx>
            <c:strRef>
              <c:f>'CNN &amp; Size Comparison'!$F$17:$F$18</c:f>
              <c:strCache>
                <c:ptCount val="2"/>
                <c:pt idx="0">
                  <c:v>Inception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Comparison'!$F$19:$F$23</c:f>
              <c:numCache>
                <c:formatCode>0.0%</c:formatCode>
                <c:ptCount val="5"/>
                <c:pt idx="0">
                  <c:v>0.502</c:v>
                </c:pt>
                <c:pt idx="1">
                  <c:v>0.51300000000000001</c:v>
                </c:pt>
                <c:pt idx="2">
                  <c:v>0.51100000000000001</c:v>
                </c:pt>
                <c:pt idx="3">
                  <c:v>0.5</c:v>
                </c:pt>
                <c:pt idx="4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D-4FA8-BBBB-1D6C813CE713}"/>
            </c:ext>
          </c:extLst>
        </c:ser>
        <c:ser>
          <c:idx val="2"/>
          <c:order val="2"/>
          <c:tx>
            <c:strRef>
              <c:f>'CNN &amp; Size Comparison'!$G$17:$G$18</c:f>
              <c:strCache>
                <c:ptCount val="2"/>
                <c:pt idx="0">
                  <c:v>ResNet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Comparison'!$G$19:$G$23</c:f>
              <c:numCache>
                <c:formatCode>0.0%</c:formatCode>
                <c:ptCount val="5"/>
                <c:pt idx="0">
                  <c:v>0.79300000000000004</c:v>
                </c:pt>
                <c:pt idx="1">
                  <c:v>0.79900000000000004</c:v>
                </c:pt>
                <c:pt idx="2">
                  <c:v>0.81200000000000006</c:v>
                </c:pt>
                <c:pt idx="3">
                  <c:v>0.74299999999999999</c:v>
                </c:pt>
                <c:pt idx="4">
                  <c:v>0.55800000000000005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D-4FA8-BBBB-1D6C813CE713}"/>
            </c:ext>
          </c:extLst>
        </c:ser>
        <c:ser>
          <c:idx val="3"/>
          <c:order val="3"/>
          <c:tx>
            <c:strRef>
              <c:f>'CNN &amp; Size Comparison'!$H$17:$H$18</c:f>
              <c:strCache>
                <c:ptCount val="2"/>
                <c:pt idx="0">
                  <c:v>Inception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Comparison'!$H$19:$H$23</c:f>
              <c:numCache>
                <c:formatCode>0.0%</c:formatCode>
                <c:ptCount val="5"/>
                <c:pt idx="0">
                  <c:v>0.84399999999999997</c:v>
                </c:pt>
                <c:pt idx="1">
                  <c:v>0.83799999999999997</c:v>
                </c:pt>
                <c:pt idx="2">
                  <c:v>0.84699999999999998</c:v>
                </c:pt>
                <c:pt idx="3">
                  <c:v>0.83</c:v>
                </c:pt>
                <c:pt idx="4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D-4FA8-BBBB-1D6C813CE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20500208"/>
        <c:axId val="520497584"/>
      </c:barChart>
      <c:catAx>
        <c:axId val="52050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497584"/>
        <c:crosses val="autoZero"/>
        <c:auto val="1"/>
        <c:lblAlgn val="ctr"/>
        <c:lblOffset val="100"/>
        <c:noMultiLvlLbl val="0"/>
      </c:catAx>
      <c:valAx>
        <c:axId val="520497584"/>
        <c:scaling>
          <c:orientation val="minMax"/>
          <c:max val="0.95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 Accuracy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Top-5 Accuracy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Size_comp!$B$14:$B$15</c:f>
              <c:strCache>
                <c:ptCount val="2"/>
                <c:pt idx="0">
                  <c:v>1k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3950797612820822E-2"/>
                  <c:y val="3.8271275617441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18-47A6-B8DB-E0C4BD57E9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Size_comp!$B$25:$B$29</c:f>
              <c:numCache>
                <c:formatCode>0.0%</c:formatCode>
                <c:ptCount val="5"/>
                <c:pt idx="0">
                  <c:v>0.79900000000000004</c:v>
                </c:pt>
                <c:pt idx="1">
                  <c:v>0.78900000000000003</c:v>
                </c:pt>
                <c:pt idx="2">
                  <c:v>0.77800000000000002</c:v>
                </c:pt>
                <c:pt idx="3">
                  <c:v>0.749</c:v>
                </c:pt>
                <c:pt idx="4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8-47A6-B8DB-E0C4BD57E9A0}"/>
            </c:ext>
          </c:extLst>
        </c:ser>
        <c:ser>
          <c:idx val="1"/>
          <c:order val="1"/>
          <c:tx>
            <c:strRef>
              <c:f>Size_comp!$C$14:$C$15</c:f>
              <c:strCache>
                <c:ptCount val="2"/>
                <c:pt idx="0">
                  <c:v>13k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Size_comp!$C$25:$C$29</c:f>
              <c:numCache>
                <c:formatCode>0.0%</c:formatCode>
                <c:ptCount val="5"/>
                <c:pt idx="0">
                  <c:v>0.82369230769230772</c:v>
                </c:pt>
                <c:pt idx="1">
                  <c:v>0.78453846153846163</c:v>
                </c:pt>
                <c:pt idx="2">
                  <c:v>0.7786153846153846</c:v>
                </c:pt>
                <c:pt idx="3">
                  <c:v>0.75715384615384618</c:v>
                </c:pt>
                <c:pt idx="4">
                  <c:v>0.67376923076923079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8-47A6-B8DB-E0C4BD57E9A0}"/>
            </c:ext>
          </c:extLst>
        </c:ser>
        <c:ser>
          <c:idx val="2"/>
          <c:order val="2"/>
          <c:tx>
            <c:strRef>
              <c:f>Size_comp!$D$14:$D$15</c:f>
              <c:strCache>
                <c:ptCount val="2"/>
                <c:pt idx="0">
                  <c:v>1k 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Size_comp!$D$25:$D$29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18-47A6-B8DB-E0C4BD57E9A0}"/>
            </c:ext>
          </c:extLst>
        </c:ser>
        <c:ser>
          <c:idx val="3"/>
          <c:order val="3"/>
          <c:tx>
            <c:strRef>
              <c:f>Size_comp!$E$14:$E$15</c:f>
              <c:strCache>
                <c:ptCount val="2"/>
                <c:pt idx="0">
                  <c:v>13k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Size_comp!$A$25:$A$29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Size_comp!$E$25:$E$29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0.88100000000000001</c:v>
                </c:pt>
                <c:pt idx="4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18-47A6-B8DB-E0C4BD57E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280072"/>
        <c:axId val="550275152"/>
      </c:lineChart>
      <c:catAx>
        <c:axId val="55028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</a:t>
                </a:r>
                <a:r>
                  <a:rPr lang="en-US" sz="1200" b="1" baseline="0"/>
                  <a:t> Level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75152"/>
        <c:crosses val="autoZero"/>
        <c:auto val="1"/>
        <c:lblAlgn val="ctr"/>
        <c:lblOffset val="100"/>
        <c:noMultiLvlLbl val="0"/>
      </c:catAx>
      <c:valAx>
        <c:axId val="550275152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</a:t>
                </a:r>
                <a:r>
                  <a:rPr lang="en-US" sz="1200" b="1" baseline="0"/>
                  <a:t> Accuracy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8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MobileNet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Premodel'!$B$2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7958782123188959E-2"/>
                  <c:y val="-3.9246627913842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59-4748-98AE-412FAD91C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Premodel'!$B$4:$B$8</c:f>
              <c:numCache>
                <c:formatCode>0.00%</c:formatCode>
                <c:ptCount val="5"/>
                <c:pt idx="0">
                  <c:v>0.48076923076923078</c:v>
                </c:pt>
                <c:pt idx="1">
                  <c:v>0.47435897435897434</c:v>
                </c:pt>
                <c:pt idx="2">
                  <c:v>0.48076923076923078</c:v>
                </c:pt>
                <c:pt idx="3">
                  <c:v>0.48717948717948717</c:v>
                </c:pt>
                <c:pt idx="4">
                  <c:v>0.40064102564102566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9-4748-98AE-412FAD91CF23}"/>
            </c:ext>
          </c:extLst>
        </c:ser>
        <c:ser>
          <c:idx val="0"/>
          <c:order val="1"/>
          <c:tx>
            <c:strRef>
              <c:f>'3 CNNs Without Premodel'!$D$2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Premodel'!$D$4:$D$8</c:f>
              <c:numCache>
                <c:formatCode>0.00%</c:formatCode>
                <c:ptCount val="5"/>
                <c:pt idx="0">
                  <c:v>0.73962264150943391</c:v>
                </c:pt>
                <c:pt idx="1">
                  <c:v>0.72704402515723265</c:v>
                </c:pt>
                <c:pt idx="2">
                  <c:v>0.72704402515723265</c:v>
                </c:pt>
                <c:pt idx="3">
                  <c:v>0.69811320754716977</c:v>
                </c:pt>
                <c:pt idx="4">
                  <c:v>0.54465408805031446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59-4748-98AE-412FAD91CF23}"/>
            </c:ext>
          </c:extLst>
        </c:ser>
        <c:ser>
          <c:idx val="1"/>
          <c:order val="2"/>
          <c:tx>
            <c:strRef>
              <c:f>'3 CNNs Without Premodel'!$F$2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892116182572614E-2"/>
                  <c:y val="2.9021947409947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59-4748-98AE-412FAD91CF23}"/>
                </c:ext>
              </c:extLst>
            </c:dLbl>
            <c:dLbl>
              <c:idx val="4"/>
              <c:layout>
                <c:manualLayout>
                  <c:x val="-5.8333424089623651E-2"/>
                  <c:y val="1.8796998534692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59-4748-98AE-412FAD91C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Premodel'!$F$4:$F$8</c:f>
              <c:numCache>
                <c:formatCode>0.00%</c:formatCode>
                <c:ptCount val="5"/>
                <c:pt idx="0">
                  <c:v>0.48899999999999999</c:v>
                </c:pt>
                <c:pt idx="1">
                  <c:v>0.48899999999999999</c:v>
                </c:pt>
                <c:pt idx="2">
                  <c:v>0.49</c:v>
                </c:pt>
                <c:pt idx="3">
                  <c:v>0.45400000000000001</c:v>
                </c:pt>
                <c:pt idx="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59-4748-98AE-412FAD91CF23}"/>
            </c:ext>
          </c:extLst>
        </c:ser>
        <c:ser>
          <c:idx val="2"/>
          <c:order val="3"/>
          <c:tx>
            <c:strRef>
              <c:f>'3 CNNs Without Premodel'!$H$2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8892482837985503E-2"/>
                  <c:y val="-4.9471576789097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59-4748-98AE-412FAD91C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Premodel'!$H$4:$H$8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59-4748-98AE-412FAD91CF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Premodel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'car_related and usual'!$B$26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usual'!$B$28:$B$32</c:f>
              <c:numCache>
                <c:formatCode>0.0%</c:formatCode>
                <c:ptCount val="5"/>
                <c:pt idx="0">
                  <c:v>0.48076923076923078</c:v>
                </c:pt>
                <c:pt idx="1">
                  <c:v>0.50641025641025639</c:v>
                </c:pt>
                <c:pt idx="2">
                  <c:v>0.52564102564102566</c:v>
                </c:pt>
                <c:pt idx="3">
                  <c:v>0.51923076923076927</c:v>
                </c:pt>
                <c:pt idx="4">
                  <c:v>0.42307692307692307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86D-AA18-D501AF13F151}"/>
            </c:ext>
          </c:extLst>
        </c:ser>
        <c:ser>
          <c:idx val="1"/>
          <c:order val="1"/>
          <c:tx>
            <c:strRef>
              <c:f>'car_related and usual'!$D$26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602211549282503E-2"/>
                  <c:y val="3.243026370169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83-486D-AA18-D501AF13F151}"/>
                </c:ext>
              </c:extLst>
            </c:dLbl>
            <c:dLbl>
              <c:idx val="1"/>
              <c:layout>
                <c:manualLayout>
                  <c:x val="-5.5186721991701285E-2"/>
                  <c:y val="3.58385799934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83-486D-AA18-D501AF13F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usual'!$D$28:$D$32</c:f>
              <c:numCache>
                <c:formatCode>0.0%</c:formatCode>
                <c:ptCount val="5"/>
                <c:pt idx="0">
                  <c:v>0.74591194968553454</c:v>
                </c:pt>
                <c:pt idx="1">
                  <c:v>0.76226415094339628</c:v>
                </c:pt>
                <c:pt idx="2">
                  <c:v>0.76226415094339628</c:v>
                </c:pt>
                <c:pt idx="3">
                  <c:v>0.74716981132075466</c:v>
                </c:pt>
                <c:pt idx="4">
                  <c:v>0.64654088050314462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3-486D-AA18-D501AF13F151}"/>
            </c:ext>
          </c:extLst>
        </c:ser>
        <c:ser>
          <c:idx val="2"/>
          <c:order val="2"/>
          <c:tx>
            <c:strRef>
              <c:f>'car_related and usual'!$F$26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usual'!$F$28:$F$32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3-486D-AA18-D501AF13F151}"/>
            </c:ext>
          </c:extLst>
        </c:ser>
        <c:ser>
          <c:idx val="3"/>
          <c:order val="3"/>
          <c:tx>
            <c:strRef>
              <c:f>'car_related and usual'!$I$26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5823867452253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83-486D-AA18-D501AF13F151}"/>
                </c:ext>
              </c:extLst>
            </c:dLbl>
            <c:dLbl>
              <c:idx val="1"/>
              <c:layout>
                <c:manualLayout>
                  <c:x val="-4.4150575576393201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83-486D-AA18-D501AF13F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usual'!$H$28:$H$32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83-486D-AA18-D501AF13F1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 With MobileNet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Premodel'!$B$2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Premodel'!$C$4:$C$8</c:f>
              <c:numCache>
                <c:formatCode>0.00%</c:formatCode>
                <c:ptCount val="5"/>
                <c:pt idx="0">
                  <c:v>0.75</c:v>
                </c:pt>
                <c:pt idx="1">
                  <c:v>0.74679487179487181</c:v>
                </c:pt>
                <c:pt idx="2">
                  <c:v>0.73717948717948723</c:v>
                </c:pt>
                <c:pt idx="3">
                  <c:v>0.74358974358974361</c:v>
                </c:pt>
                <c:pt idx="4">
                  <c:v>0.64743589743589747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2-45FB-9869-1E918C88F09F}"/>
            </c:ext>
          </c:extLst>
        </c:ser>
        <c:ser>
          <c:idx val="0"/>
          <c:order val="1"/>
          <c:tx>
            <c:strRef>
              <c:f>'3 CNNs Without Premodel'!$D$2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Premodel'!$E$4:$E$8</c:f>
              <c:numCache>
                <c:formatCode>0.00%</c:formatCode>
                <c:ptCount val="5"/>
                <c:pt idx="0">
                  <c:v>0.89308176100628933</c:v>
                </c:pt>
                <c:pt idx="1">
                  <c:v>0.88553459119496858</c:v>
                </c:pt>
                <c:pt idx="2">
                  <c:v>0.88050314465408808</c:v>
                </c:pt>
                <c:pt idx="3">
                  <c:v>0.87295597484276732</c:v>
                </c:pt>
                <c:pt idx="4">
                  <c:v>0.77484276729559753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2-45FB-9869-1E918C88F09F}"/>
            </c:ext>
          </c:extLst>
        </c:ser>
        <c:ser>
          <c:idx val="1"/>
          <c:order val="2"/>
          <c:tx>
            <c:strRef>
              <c:f>'3 CNNs Without Premodel'!$F$2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Premodel'!$G$4:$G$8</c:f>
              <c:numCache>
                <c:formatCode>0.00%</c:formatCode>
                <c:ptCount val="5"/>
                <c:pt idx="0">
                  <c:v>0.74299999999999999</c:v>
                </c:pt>
                <c:pt idx="1">
                  <c:v>0.746</c:v>
                </c:pt>
                <c:pt idx="2">
                  <c:v>0.73</c:v>
                </c:pt>
                <c:pt idx="3">
                  <c:v>0.70899999999999996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2-45FB-9869-1E918C88F09F}"/>
            </c:ext>
          </c:extLst>
        </c:ser>
        <c:ser>
          <c:idx val="2"/>
          <c:order val="3"/>
          <c:tx>
            <c:strRef>
              <c:f>'3 CNNs Without Premodel'!$H$2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Premodel'!$I$4:$I$8</c:f>
              <c:numCache>
                <c:formatCode>0.00%</c:formatCode>
                <c:ptCount val="5"/>
                <c:pt idx="0">
                  <c:v>0.88800000000000001</c:v>
                </c:pt>
                <c:pt idx="1">
                  <c:v>0.88300000000000001</c:v>
                </c:pt>
                <c:pt idx="2">
                  <c:v>0.875</c:v>
                </c:pt>
                <c:pt idx="3">
                  <c:v>0.86099999999999999</c:v>
                </c:pt>
                <c:pt idx="4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2-45FB-9869-1E918C88F0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Inception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Premodel'!$L$2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579471623424121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3A-4DD6-B6AD-29A469A572C3}"/>
                </c:ext>
              </c:extLst>
            </c:dLbl>
            <c:dLbl>
              <c:idx val="3"/>
              <c:layout>
                <c:manualLayout>
                  <c:x val="-5.3717030248268231E-2"/>
                  <c:y val="-4.2654944205593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3A-4DD6-B6AD-29A469A572C3}"/>
                </c:ext>
              </c:extLst>
            </c:dLbl>
            <c:dLbl>
              <c:idx val="4"/>
              <c:layout>
                <c:manualLayout>
                  <c:x val="-5.4217940995080698E-2"/>
                  <c:y val="-4.2654944205594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Premodel'!$L$4:$L$8</c:f>
              <c:numCache>
                <c:formatCode>0.00%</c:formatCode>
                <c:ptCount val="5"/>
                <c:pt idx="0">
                  <c:v>0.48076923076923078</c:v>
                </c:pt>
                <c:pt idx="1">
                  <c:v>0.50641025641025639</c:v>
                </c:pt>
                <c:pt idx="2">
                  <c:v>0.52564102564102566</c:v>
                </c:pt>
                <c:pt idx="3">
                  <c:v>0.51923076923076927</c:v>
                </c:pt>
                <c:pt idx="4">
                  <c:v>0.42307692307692307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A-4DD6-B6AD-29A469A572C3}"/>
            </c:ext>
          </c:extLst>
        </c:ser>
        <c:ser>
          <c:idx val="0"/>
          <c:order val="1"/>
          <c:tx>
            <c:strRef>
              <c:f>'3 CNNs Without Premodel'!$N$2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064024783787269E-2"/>
                  <c:y val="2.9021947409947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Premodel'!$N$4:$N$8</c:f>
              <c:numCache>
                <c:formatCode>0.00%</c:formatCode>
                <c:ptCount val="5"/>
                <c:pt idx="0">
                  <c:v>0.74591194968553454</c:v>
                </c:pt>
                <c:pt idx="1">
                  <c:v>0.76226415094339628</c:v>
                </c:pt>
                <c:pt idx="2">
                  <c:v>0.76226415094339628</c:v>
                </c:pt>
                <c:pt idx="3">
                  <c:v>0.74716981132075466</c:v>
                </c:pt>
                <c:pt idx="4">
                  <c:v>0.64654088050314462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A-4DD6-B6AD-29A469A572C3}"/>
            </c:ext>
          </c:extLst>
        </c:ser>
        <c:ser>
          <c:idx val="1"/>
          <c:order val="2"/>
          <c:tx>
            <c:strRef>
              <c:f>'3 CNNs Without Premodel'!$P$2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5054644808743253E-2"/>
                  <c:y val="3.58385799934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3A-4DD6-B6AD-29A469A572C3}"/>
                </c:ext>
              </c:extLst>
            </c:dLbl>
            <c:dLbl>
              <c:idx val="3"/>
              <c:layout>
                <c:manualLayout>
                  <c:x val="-6.2887067395264201E-2"/>
                  <c:y val="4.6063528868707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3A-4DD6-B6AD-29A469A572C3}"/>
                </c:ext>
              </c:extLst>
            </c:dLbl>
            <c:dLbl>
              <c:idx val="4"/>
              <c:layout>
                <c:manualLayout>
                  <c:x val="-6.7634424795261411E-2"/>
                  <c:y val="2.9021947409947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Premodel'!$P$4:$P$8</c:f>
              <c:numCache>
                <c:formatCode>0.00%</c:formatCode>
                <c:ptCount val="5"/>
                <c:pt idx="0">
                  <c:v>0.52200000000000002</c:v>
                </c:pt>
                <c:pt idx="1">
                  <c:v>0.51400000000000001</c:v>
                </c:pt>
                <c:pt idx="2">
                  <c:v>0.51</c:v>
                </c:pt>
                <c:pt idx="3">
                  <c:v>0.48899999999999999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3A-4DD6-B6AD-29A469A572C3}"/>
            </c:ext>
          </c:extLst>
        </c:ser>
        <c:ser>
          <c:idx val="2"/>
          <c:order val="3"/>
          <c:tx>
            <c:strRef>
              <c:f>'3 CNNs Without Premodel'!$R$2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214025500910743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3A-4DD6-B6AD-29A469A57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Premodel'!$R$4:$R$8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3A-4DD6-B6AD-29A469A572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 With Inception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Premodel'!$M$2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690346083788727E-2"/>
                  <c:y val="3.924689628520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A1-40F7-B806-74B9A8F7AACF}"/>
                </c:ext>
              </c:extLst>
            </c:dLbl>
            <c:dLbl>
              <c:idx val="1"/>
              <c:layout>
                <c:manualLayout>
                  <c:x val="-5.9773496550636088E-2"/>
                  <c:y val="4.6063528868707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A1-40F7-B806-74B9A8F7A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Premodel'!$M$4:$M$8</c:f>
              <c:numCache>
                <c:formatCode>0.00%</c:formatCode>
                <c:ptCount val="5"/>
                <c:pt idx="0">
                  <c:v>0.79807692307692313</c:v>
                </c:pt>
                <c:pt idx="1">
                  <c:v>0.79487179487179482</c:v>
                </c:pt>
                <c:pt idx="2">
                  <c:v>0.80769230769230771</c:v>
                </c:pt>
                <c:pt idx="3">
                  <c:v>0.78205128205128205</c:v>
                </c:pt>
                <c:pt idx="4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1-40F7-B806-74B9A8F7AACF}"/>
            </c:ext>
          </c:extLst>
        </c:ser>
        <c:ser>
          <c:idx val="0"/>
          <c:order val="1"/>
          <c:tx>
            <c:strRef>
              <c:f>'3 CNNs Without Premodel'!$O$2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Premodel'!$O$4:$O$8</c:f>
              <c:numCache>
                <c:formatCode>0.00%</c:formatCode>
                <c:ptCount val="5"/>
                <c:pt idx="0">
                  <c:v>0.91698113207547172</c:v>
                </c:pt>
                <c:pt idx="1">
                  <c:v>0.91572327044025159</c:v>
                </c:pt>
                <c:pt idx="2">
                  <c:v>0.92075471698113209</c:v>
                </c:pt>
                <c:pt idx="3">
                  <c:v>0.90817610062893084</c:v>
                </c:pt>
                <c:pt idx="4">
                  <c:v>0.84402515723270444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1-40F7-B806-74B9A8F7AACF}"/>
            </c:ext>
          </c:extLst>
        </c:ser>
        <c:ser>
          <c:idx val="1"/>
          <c:order val="2"/>
          <c:tx>
            <c:strRef>
              <c:f>'3 CNNs Without Premodel'!$Q$2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46438764826528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A1-40F7-B806-74B9A8F7AACF}"/>
                </c:ext>
              </c:extLst>
            </c:dLbl>
            <c:dLbl>
              <c:idx val="1"/>
              <c:layout>
                <c:manualLayout>
                  <c:x val="-5.8054551582691551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A1-40F7-B806-74B9A8F7A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Premodel'!$Q$4:$Q$8</c:f>
              <c:numCache>
                <c:formatCode>0.00%</c:formatCode>
                <c:ptCount val="5"/>
                <c:pt idx="0">
                  <c:v>0.80800000000000005</c:v>
                </c:pt>
                <c:pt idx="1">
                  <c:v>0.80700000000000005</c:v>
                </c:pt>
                <c:pt idx="2">
                  <c:v>0.78800000000000003</c:v>
                </c:pt>
                <c:pt idx="3">
                  <c:v>0.77400000000000002</c:v>
                </c:pt>
                <c:pt idx="4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A1-40F7-B806-74B9A8F7AACF}"/>
            </c:ext>
          </c:extLst>
        </c:ser>
        <c:ser>
          <c:idx val="2"/>
          <c:order val="3"/>
          <c:tx>
            <c:strRef>
              <c:f>'3 CNNs Without Premodel'!$S$2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Premodel'!$S$4:$S$8</c:f>
              <c:numCache>
                <c:formatCode>0.00%</c:formatCode>
                <c:ptCount val="5"/>
                <c:pt idx="0">
                  <c:v>0.91600000000000004</c:v>
                </c:pt>
                <c:pt idx="1">
                  <c:v>0.91400000000000003</c:v>
                </c:pt>
                <c:pt idx="2">
                  <c:v>0.90900000000000003</c:v>
                </c:pt>
                <c:pt idx="3">
                  <c:v>0.9</c:v>
                </c:pt>
                <c:pt idx="4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A1-40F7-B806-74B9A8F7AA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Top-1 With ResNet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Premodel'!$V$2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225771983420127E-2"/>
                  <c:y val="3.9246896285203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DE-4A57-88ED-3C1BC5E3DDB1}"/>
                </c:ext>
              </c:extLst>
            </c:dLbl>
            <c:dLbl>
              <c:idx val="1"/>
              <c:layout>
                <c:manualLayout>
                  <c:x val="-5.7007192748447427E-2"/>
                  <c:y val="3.9246896285203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DE-4A57-88ED-3C1BC5E3DDB1}"/>
                </c:ext>
              </c:extLst>
            </c:dLbl>
            <c:dLbl>
              <c:idx val="4"/>
              <c:layout>
                <c:manualLayout>
                  <c:x val="-4.7091347188159022E-2"/>
                  <c:y val="-6.9819225050856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DE-4A57-88ED-3C1BC5E3D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Premodel'!$V$4:$V$8</c:f>
              <c:numCache>
                <c:formatCode>0.00%</c:formatCode>
                <c:ptCount val="5"/>
                <c:pt idx="0">
                  <c:v>0.47115384615384615</c:v>
                </c:pt>
                <c:pt idx="1">
                  <c:v>0.46153846153846156</c:v>
                </c:pt>
                <c:pt idx="2">
                  <c:v>0.46474358974358976</c:v>
                </c:pt>
                <c:pt idx="3">
                  <c:v>0.44230769230769229</c:v>
                </c:pt>
                <c:pt idx="4">
                  <c:v>0.32692307692307693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E-4A57-88ED-3C1BC5E3DDB1}"/>
            </c:ext>
          </c:extLst>
        </c:ser>
        <c:ser>
          <c:idx val="0"/>
          <c:order val="1"/>
          <c:tx>
            <c:strRef>
              <c:f>'3 CNNs Without Premodel'!$D$2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Premodel'!$X$4:$X$8</c:f>
              <c:numCache>
                <c:formatCode>0.00%</c:formatCode>
                <c:ptCount val="5"/>
                <c:pt idx="0">
                  <c:v>0.72955974842767291</c:v>
                </c:pt>
                <c:pt idx="1">
                  <c:v>0.72075471698113203</c:v>
                </c:pt>
                <c:pt idx="2">
                  <c:v>0.69820000000000004</c:v>
                </c:pt>
                <c:pt idx="3">
                  <c:v>0.61260000000000003</c:v>
                </c:pt>
                <c:pt idx="4">
                  <c:v>0.41389999999999999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E-4A57-88ED-3C1BC5E3DDB1}"/>
            </c:ext>
          </c:extLst>
        </c:ser>
        <c:ser>
          <c:idx val="1"/>
          <c:order val="2"/>
          <c:tx>
            <c:strRef>
              <c:f>'3 CNNs Without Premodel'!$F$2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566757024224432E-2"/>
                  <c:y val="-3.2429995330338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DE-4A57-88ED-3C1BC5E3DDB1}"/>
                </c:ext>
              </c:extLst>
            </c:dLbl>
            <c:dLbl>
              <c:idx val="1"/>
              <c:layout>
                <c:manualLayout>
                  <c:x val="-6.0433787989616093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DE-4A57-88ED-3C1BC5E3DDB1}"/>
                </c:ext>
              </c:extLst>
            </c:dLbl>
            <c:dLbl>
              <c:idx val="4"/>
              <c:layout>
                <c:manualLayout>
                  <c:x val="-5.6887612409104601E-2"/>
                  <c:y val="2.2103065337691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E-4A57-88ED-3C1BC5E3D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Premodel'!$Z$4:$Z$8</c:f>
              <c:numCache>
                <c:formatCode>0.00%</c:formatCode>
                <c:ptCount val="5"/>
                <c:pt idx="0">
                  <c:v>0.48799999999999999</c:v>
                </c:pt>
                <c:pt idx="1">
                  <c:v>0.47799999999999998</c:v>
                </c:pt>
                <c:pt idx="2">
                  <c:v>0.46</c:v>
                </c:pt>
                <c:pt idx="3">
                  <c:v>0.40500000000000003</c:v>
                </c:pt>
                <c:pt idx="4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E-4A57-88ED-3C1BC5E3DDB1}"/>
            </c:ext>
          </c:extLst>
        </c:ser>
        <c:ser>
          <c:idx val="2"/>
          <c:order val="3"/>
          <c:tx>
            <c:strRef>
              <c:f>'3 CNNs Without Premodel'!$H$2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Premodel'!$AB$4:$AB$8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E-4A57-88ED-3C1BC5E3DD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 With ResNet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'3 CNNs Without Premodel'!$W$2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84599056265508E-2"/>
                  <c:y val="3.5838579993451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3C-4B63-9788-E524250446B2}"/>
                </c:ext>
              </c:extLst>
            </c:dLbl>
            <c:dLbl>
              <c:idx val="1"/>
              <c:layout>
                <c:manualLayout>
                  <c:x val="-5.7064024783787318E-2"/>
                  <c:y val="3.9246896285203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3C-4B63-9788-E52425044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Premodel'!$W$4:$W$8</c:f>
              <c:numCache>
                <c:formatCode>0.00%</c:formatCode>
                <c:ptCount val="5"/>
                <c:pt idx="0">
                  <c:v>0.73717948717948723</c:v>
                </c:pt>
                <c:pt idx="1">
                  <c:v>0.75641025641025639</c:v>
                </c:pt>
                <c:pt idx="2">
                  <c:v>0.73397435897435892</c:v>
                </c:pt>
                <c:pt idx="3">
                  <c:v>0.71153846153846156</c:v>
                </c:pt>
                <c:pt idx="4">
                  <c:v>0.58653846153846156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C-4B63-9788-E524250446B2}"/>
            </c:ext>
          </c:extLst>
        </c:ser>
        <c:ser>
          <c:idx val="0"/>
          <c:order val="1"/>
          <c:tx>
            <c:strRef>
              <c:f>'3 CNNs Without Premodel'!$Y$2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Premodel'!$Y$4:$Y$8</c:f>
              <c:numCache>
                <c:formatCode>0.00%</c:formatCode>
                <c:ptCount val="5"/>
                <c:pt idx="0">
                  <c:v>0.88930817610062896</c:v>
                </c:pt>
                <c:pt idx="1">
                  <c:v>0.89308176100628933</c:v>
                </c:pt>
                <c:pt idx="2">
                  <c:v>0.86170000000000002</c:v>
                </c:pt>
                <c:pt idx="3">
                  <c:v>0.80130000000000001</c:v>
                </c:pt>
                <c:pt idx="4">
                  <c:v>0.61770000000000003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C-4B63-9788-E524250446B2}"/>
            </c:ext>
          </c:extLst>
        </c:ser>
        <c:ser>
          <c:idx val="1"/>
          <c:order val="2"/>
          <c:tx>
            <c:strRef>
              <c:f>'3 CNNs Without Premodel'!$AA$2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991437545716623E-2"/>
                  <c:y val="-2.902167903858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3C-4B63-9788-E524250446B2}"/>
                </c:ext>
              </c:extLst>
            </c:dLbl>
            <c:dLbl>
              <c:idx val="1"/>
              <c:layout>
                <c:manualLayout>
                  <c:x val="-5.4883969421855097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3C-4B63-9788-E524250446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Premodel'!$AA$4:$AA$8</c:f>
              <c:numCache>
                <c:formatCode>0.00%</c:formatCode>
                <c:ptCount val="5"/>
                <c:pt idx="0">
                  <c:v>0.76100000000000001</c:v>
                </c:pt>
                <c:pt idx="1">
                  <c:v>0.76100000000000001</c:v>
                </c:pt>
                <c:pt idx="2">
                  <c:v>0.73599999999999999</c:v>
                </c:pt>
                <c:pt idx="3">
                  <c:v>0.67100000000000004</c:v>
                </c:pt>
                <c:pt idx="4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3C-4B63-9788-E524250446B2}"/>
            </c:ext>
          </c:extLst>
        </c:ser>
        <c:ser>
          <c:idx val="2"/>
          <c:order val="3"/>
          <c:tx>
            <c:strRef>
              <c:f>'3 CNNs Without Premodel'!$AC$2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'3 CNNs Without Premodel'!$A$4:$A$8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Premodel'!$AC$4:$AC$8</c:f>
              <c:numCache>
                <c:formatCode>0.00%</c:formatCode>
                <c:ptCount val="5"/>
                <c:pt idx="0">
                  <c:v>0.89200000000000002</c:v>
                </c:pt>
                <c:pt idx="1">
                  <c:v>0.88800000000000001</c:v>
                </c:pt>
                <c:pt idx="2">
                  <c:v>0.872</c:v>
                </c:pt>
                <c:pt idx="3">
                  <c:v>0.81799999999999995</c:v>
                </c:pt>
                <c:pt idx="4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3C-4B63-9788-E524250446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 Balanced: Top-1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CNNs Without Premodel'!$B$15</c:f>
              <c:strCache>
                <c:ptCount val="1"/>
                <c:pt idx="0">
                  <c:v>MobileNet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Premodel'!$B$16:$B$20</c:f>
              <c:numCache>
                <c:formatCode>0.00%</c:formatCode>
                <c:ptCount val="5"/>
                <c:pt idx="0">
                  <c:v>0.48899999999999999</c:v>
                </c:pt>
                <c:pt idx="1">
                  <c:v>0.48899999999999999</c:v>
                </c:pt>
                <c:pt idx="2">
                  <c:v>0.49</c:v>
                </c:pt>
                <c:pt idx="3">
                  <c:v>0.45400000000000001</c:v>
                </c:pt>
                <c:pt idx="4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3-46B1-9E81-C23D584DAD7E}"/>
            </c:ext>
          </c:extLst>
        </c:ser>
        <c:ser>
          <c:idx val="1"/>
          <c:order val="1"/>
          <c:tx>
            <c:strRef>
              <c:f>'3 CNNs Without Premodel'!$C$15</c:f>
              <c:strCache>
                <c:ptCount val="1"/>
                <c:pt idx="0">
                  <c:v>Inception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Premodel'!$C$16:$C$20</c:f>
              <c:numCache>
                <c:formatCode>0.00%</c:formatCode>
                <c:ptCount val="5"/>
                <c:pt idx="0">
                  <c:v>0.52200000000000002</c:v>
                </c:pt>
                <c:pt idx="1">
                  <c:v>0.51400000000000001</c:v>
                </c:pt>
                <c:pt idx="2">
                  <c:v>0.51</c:v>
                </c:pt>
                <c:pt idx="3">
                  <c:v>0.48899999999999999</c:v>
                </c:pt>
                <c:pt idx="4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3-46B1-9E81-C23D584DAD7E}"/>
            </c:ext>
          </c:extLst>
        </c:ser>
        <c:ser>
          <c:idx val="2"/>
          <c:order val="2"/>
          <c:tx>
            <c:strRef>
              <c:f>'3 CNNs Without Premodel'!$D$15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Premodel'!$D$16:$D$20</c:f>
              <c:numCache>
                <c:formatCode>0.00%</c:formatCode>
                <c:ptCount val="5"/>
                <c:pt idx="0">
                  <c:v>0.48799999999999999</c:v>
                </c:pt>
                <c:pt idx="1">
                  <c:v>0.47799999999999998</c:v>
                </c:pt>
                <c:pt idx="2">
                  <c:v>0.46</c:v>
                </c:pt>
                <c:pt idx="3">
                  <c:v>0.40500000000000003</c:v>
                </c:pt>
                <c:pt idx="4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3-46B1-9E81-C23D584DAD7E}"/>
            </c:ext>
          </c:extLst>
        </c:ser>
        <c:ser>
          <c:idx val="3"/>
          <c:order val="3"/>
          <c:tx>
            <c:strRef>
              <c:f>'3 CNNs Without Premodel'!$E$15</c:f>
              <c:strCache>
                <c:ptCount val="1"/>
                <c:pt idx="0">
                  <c:v>Premodel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 CNNs Without Premodel'!$E$16:$E$20</c:f>
              <c:numCache>
                <c:formatCode>0.00%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50A-B66A-51E4259A25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49728"/>
        <c:axId val="168858048"/>
      </c:lineChart>
      <c:catAx>
        <c:axId val="1688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58048"/>
        <c:crosses val="autoZero"/>
        <c:auto val="1"/>
        <c:lblAlgn val="ctr"/>
        <c:lblOffset val="100"/>
        <c:noMultiLvlLbl val="0"/>
      </c:catAx>
      <c:valAx>
        <c:axId val="1688580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 CNNs Without Premodel'!$I$15</c:f>
              <c:strCache>
                <c:ptCount val="1"/>
                <c:pt idx="0">
                  <c:v>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Premodel'!$G$16:$G$20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Premodel'!$I$16:$I$20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2-44F3-B40B-804F92A67348}"/>
            </c:ext>
          </c:extLst>
        </c:ser>
        <c:ser>
          <c:idx val="0"/>
          <c:order val="1"/>
          <c:tx>
            <c:strRef>
              <c:f>'3 CNNs Without Premodel'!$H$15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Premodel'!$G$16:$G$20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Premodel'!$H$16:$H$20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2-44F3-B40B-804F92A67348}"/>
            </c:ext>
          </c:extLst>
        </c:ser>
        <c:ser>
          <c:idx val="2"/>
          <c:order val="2"/>
          <c:tx>
            <c:strRef>
              <c:f>'3 CNNs Without Premodel'!$J$15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Premodel'!$G$16:$G$20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Premodel'!$J$16:$J$20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2-44F3-B40B-804F92A67348}"/>
            </c:ext>
          </c:extLst>
        </c:ser>
        <c:ser>
          <c:idx val="6"/>
          <c:order val="6"/>
          <c:tx>
            <c:strRef>
              <c:f>'3 CNNs Without Premodel'!$K$15</c:f>
              <c:strCache>
                <c:ptCount val="1"/>
                <c:pt idx="0">
                  <c:v>Premodel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 CNNs Without Premodel'!$K$16:$K$20</c:f>
              <c:numCache>
                <c:formatCode>0.00%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1-4E82-9942-9F709EE658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2479648"/>
        <c:axId val="2324867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'3 CNNs Without Premodel'!$B$15</c15:sqref>
                        </c15:formulaRef>
                      </c:ext>
                    </c:extLst>
                    <c:strCache>
                      <c:ptCount val="1"/>
                      <c:pt idx="0">
                        <c:v>MobileNet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'3 CNNs Without Premodel'!$B$16:$B$20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0.48899999999999999</c:v>
                      </c:pt>
                      <c:pt idx="1">
                        <c:v>0.48899999999999999</c:v>
                      </c:pt>
                      <c:pt idx="2">
                        <c:v>0.49</c:v>
                      </c:pt>
                      <c:pt idx="3">
                        <c:v>0.45400000000000001</c:v>
                      </c:pt>
                      <c:pt idx="4">
                        <c:v>0.29399999999999998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42-44F3-B40B-804F92A6734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Premodel'!$C$15</c15:sqref>
                        </c15:formulaRef>
                      </c:ext>
                    </c:extLst>
                    <c:strCache>
                      <c:ptCount val="1"/>
                      <c:pt idx="0">
                        <c:v>Inception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Premodel'!$C$16:$C$20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0.52200000000000002</c:v>
                      </c:pt>
                      <c:pt idx="1">
                        <c:v>0.51400000000000001</c:v>
                      </c:pt>
                      <c:pt idx="2">
                        <c:v>0.51</c:v>
                      </c:pt>
                      <c:pt idx="3">
                        <c:v>0.48899999999999999</c:v>
                      </c:pt>
                      <c:pt idx="4">
                        <c:v>0.40899999999999997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42-44F3-B40B-804F92A673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Premodel'!$D$15</c15:sqref>
                        </c15:formulaRef>
                      </c:ext>
                    </c:extLst>
                    <c:strCache>
                      <c:ptCount val="1"/>
                      <c:pt idx="0">
                        <c:v>ResNet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CNNs Without Premodel'!$D$16:$D$20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0.48799999999999999</c:v>
                      </c:pt>
                      <c:pt idx="1">
                        <c:v>0.47799999999999998</c:v>
                      </c:pt>
                      <c:pt idx="2">
                        <c:v>0.46</c:v>
                      </c:pt>
                      <c:pt idx="3">
                        <c:v>0.40500000000000003</c:v>
                      </c:pt>
                      <c:pt idx="4">
                        <c:v>0.25800000000000001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42-44F3-B40B-804F92A67348}"/>
                  </c:ext>
                </c:extLst>
              </c15:ser>
            </c15:filteredBarSeries>
          </c:ext>
        </c:extLst>
      </c:barChart>
      <c:catAx>
        <c:axId val="2324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86720"/>
        <c:crosses val="autoZero"/>
        <c:auto val="1"/>
        <c:lblAlgn val="ctr"/>
        <c:lblOffset val="100"/>
        <c:noMultiLvlLbl val="0"/>
      </c:catAx>
      <c:valAx>
        <c:axId val="232486720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CNN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'CNN &amp; Size Comparison'!$M$1:$M$2</c:f>
              <c:strCache>
                <c:ptCount val="2"/>
                <c:pt idx="0">
                  <c:v>1k 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Comparison'!$M$3:$M$7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E-4E7F-A966-58577EE39C6F}"/>
            </c:ext>
          </c:extLst>
        </c:ser>
        <c:ser>
          <c:idx val="1"/>
          <c:order val="1"/>
          <c:tx>
            <c:strRef>
              <c:f>'CNN &amp; Size Comparison'!$N$1:$N$2</c:f>
              <c:strCache>
                <c:ptCount val="2"/>
                <c:pt idx="0">
                  <c:v>13k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Comparison'!$N$3:$N$7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E-4E7F-A966-58577EE39C6F}"/>
            </c:ext>
          </c:extLst>
        </c:ser>
        <c:ser>
          <c:idx val="2"/>
          <c:order val="2"/>
          <c:tx>
            <c:strRef>
              <c:f>'CNN &amp; Size Comparison'!$O$1:$O$2</c:f>
              <c:strCache>
                <c:ptCount val="2"/>
                <c:pt idx="0">
                  <c:v>1k 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Comparison'!$O$3:$O$7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E-4E7F-A966-58577EE39C6F}"/>
            </c:ext>
          </c:extLst>
        </c:ser>
        <c:ser>
          <c:idx val="3"/>
          <c:order val="3"/>
          <c:tx>
            <c:strRef>
              <c:f>'CNN &amp; Size Comparison'!$P$1:$P$2</c:f>
              <c:strCache>
                <c:ptCount val="2"/>
                <c:pt idx="0">
                  <c:v>13k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'CNN &amp; Size Comparison'!$L$3:$L$7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Comparison'!$P$3:$P$7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0.88100000000000001</c:v>
                </c:pt>
                <c:pt idx="4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E-4E7F-A966-58577EE39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74523048"/>
        <c:axId val="574528624"/>
      </c:barChart>
      <c:catAx>
        <c:axId val="57452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 Level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528624"/>
        <c:crosses val="autoZero"/>
        <c:auto val="1"/>
        <c:lblAlgn val="ctr"/>
        <c:lblOffset val="100"/>
        <c:noMultiLvlLbl val="0"/>
      </c:catAx>
      <c:valAx>
        <c:axId val="5745286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</a:t>
                </a:r>
                <a:r>
                  <a:rPr lang="en-US" sz="1200" b="1" baseline="0"/>
                  <a:t> Accuracy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5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 CNNs Without Premodel'!$C$15</c:f>
              <c:strCache>
                <c:ptCount val="1"/>
                <c:pt idx="0">
                  <c:v>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Premodel'!$C$16:$C$20</c:f>
              <c:numCache>
                <c:formatCode>0.00%</c:formatCode>
                <c:ptCount val="5"/>
                <c:pt idx="0">
                  <c:v>0.52200000000000002</c:v>
                </c:pt>
                <c:pt idx="1">
                  <c:v>0.51400000000000001</c:v>
                </c:pt>
                <c:pt idx="2">
                  <c:v>0.51</c:v>
                </c:pt>
                <c:pt idx="3">
                  <c:v>0.48899999999999999</c:v>
                </c:pt>
                <c:pt idx="4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3-44EE-B7F3-6AEE1BC4F962}"/>
            </c:ext>
          </c:extLst>
        </c:ser>
        <c:ser>
          <c:idx val="0"/>
          <c:order val="1"/>
          <c:tx>
            <c:strRef>
              <c:f>'3 CNNs Without Premodel'!$B$15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Premodel'!$B$16:$B$20</c:f>
              <c:numCache>
                <c:formatCode>0.00%</c:formatCode>
                <c:ptCount val="5"/>
                <c:pt idx="0">
                  <c:v>0.48899999999999999</c:v>
                </c:pt>
                <c:pt idx="1">
                  <c:v>0.48899999999999999</c:v>
                </c:pt>
                <c:pt idx="2">
                  <c:v>0.49</c:v>
                </c:pt>
                <c:pt idx="3">
                  <c:v>0.45400000000000001</c:v>
                </c:pt>
                <c:pt idx="4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3-44EE-B7F3-6AEE1BC4F962}"/>
            </c:ext>
          </c:extLst>
        </c:ser>
        <c:ser>
          <c:idx val="2"/>
          <c:order val="2"/>
          <c:tx>
            <c:strRef>
              <c:f>'3 CNNs Without Premodel'!$D$15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 CNNs Without Premodel'!$A$16:$A$20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'3 CNNs Without Premodel'!$D$16:$D$20</c:f>
              <c:numCache>
                <c:formatCode>0.00%</c:formatCode>
                <c:ptCount val="5"/>
                <c:pt idx="0">
                  <c:v>0.48799999999999999</c:v>
                </c:pt>
                <c:pt idx="1">
                  <c:v>0.47799999999999998</c:v>
                </c:pt>
                <c:pt idx="2">
                  <c:v>0.46</c:v>
                </c:pt>
                <c:pt idx="3">
                  <c:v>0.40500000000000003</c:v>
                </c:pt>
                <c:pt idx="4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3-44EE-B7F3-6AEE1BC4F962}"/>
            </c:ext>
          </c:extLst>
        </c:ser>
        <c:ser>
          <c:idx val="3"/>
          <c:order val="3"/>
          <c:tx>
            <c:strRef>
              <c:f>'3 CNNs Without Premodel'!$E$15</c:f>
              <c:strCache>
                <c:ptCount val="1"/>
                <c:pt idx="0">
                  <c:v>Premodel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 CNNs Without Premodel'!$E$16:$E$20</c:f>
              <c:numCache>
                <c:formatCode>0.00%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3-44EE-B7F3-6AEE1BC4F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849728"/>
        <c:axId val="168858048"/>
      </c:barChart>
      <c:catAx>
        <c:axId val="1688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58048"/>
        <c:crosses val="autoZero"/>
        <c:auto val="1"/>
        <c:lblAlgn val="ctr"/>
        <c:lblOffset val="100"/>
        <c:noMultiLvlLbl val="0"/>
      </c:catAx>
      <c:valAx>
        <c:axId val="16885804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CNN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Brightness Categories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categories &amp; dataset mapping'!$A$2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mapping'!$B$2:$U$2</c:f>
              <c:numCache>
                <c:formatCode>General</c:formatCode>
                <c:ptCount val="20"/>
                <c:pt idx="0">
                  <c:v>2.4300000000000002</c:v>
                </c:pt>
                <c:pt idx="1">
                  <c:v>59.31</c:v>
                </c:pt>
                <c:pt idx="2">
                  <c:v>73.44</c:v>
                </c:pt>
                <c:pt idx="3">
                  <c:v>82.6</c:v>
                </c:pt>
                <c:pt idx="4">
                  <c:v>89.64</c:v>
                </c:pt>
                <c:pt idx="5">
                  <c:v>95.21</c:v>
                </c:pt>
                <c:pt idx="6">
                  <c:v>100.14</c:v>
                </c:pt>
                <c:pt idx="7">
                  <c:v>104.63</c:v>
                </c:pt>
                <c:pt idx="8">
                  <c:v>108.61</c:v>
                </c:pt>
                <c:pt idx="9">
                  <c:v>112.38</c:v>
                </c:pt>
                <c:pt idx="10">
                  <c:v>115.99</c:v>
                </c:pt>
                <c:pt idx="11">
                  <c:v>119.61</c:v>
                </c:pt>
                <c:pt idx="12">
                  <c:v>123.22</c:v>
                </c:pt>
                <c:pt idx="13">
                  <c:v>126.85</c:v>
                </c:pt>
                <c:pt idx="14">
                  <c:v>130.86000000000001</c:v>
                </c:pt>
                <c:pt idx="15">
                  <c:v>135.41</c:v>
                </c:pt>
                <c:pt idx="16">
                  <c:v>140.79</c:v>
                </c:pt>
                <c:pt idx="17">
                  <c:v>147.74</c:v>
                </c:pt>
                <c:pt idx="18">
                  <c:v>157.27000000000001</c:v>
                </c:pt>
                <c:pt idx="1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7-49DC-9615-7B1BF7CB15B7}"/>
            </c:ext>
          </c:extLst>
        </c:ser>
        <c:ser>
          <c:idx val="1"/>
          <c:order val="1"/>
          <c:tx>
            <c:strRef>
              <c:f>'20 categories &amp; dataset mapping'!$A$3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mapping'!$B$3:$U$3</c:f>
              <c:numCache>
                <c:formatCode>General</c:formatCode>
                <c:ptCount val="20"/>
                <c:pt idx="0">
                  <c:v>59.3</c:v>
                </c:pt>
                <c:pt idx="1">
                  <c:v>73.44</c:v>
                </c:pt>
                <c:pt idx="2">
                  <c:v>82.59</c:v>
                </c:pt>
                <c:pt idx="3">
                  <c:v>89.64</c:v>
                </c:pt>
                <c:pt idx="4">
                  <c:v>95.21</c:v>
                </c:pt>
                <c:pt idx="5">
                  <c:v>100.14</c:v>
                </c:pt>
                <c:pt idx="6">
                  <c:v>104.63</c:v>
                </c:pt>
                <c:pt idx="7">
                  <c:v>108.61</c:v>
                </c:pt>
                <c:pt idx="8">
                  <c:v>112.38</c:v>
                </c:pt>
                <c:pt idx="9">
                  <c:v>115.99</c:v>
                </c:pt>
                <c:pt idx="10">
                  <c:v>119.6</c:v>
                </c:pt>
                <c:pt idx="11">
                  <c:v>123.22</c:v>
                </c:pt>
                <c:pt idx="12">
                  <c:v>126.85</c:v>
                </c:pt>
                <c:pt idx="13">
                  <c:v>130.86000000000001</c:v>
                </c:pt>
                <c:pt idx="14">
                  <c:v>135.41</c:v>
                </c:pt>
                <c:pt idx="15">
                  <c:v>140.79</c:v>
                </c:pt>
                <c:pt idx="16">
                  <c:v>147.74</c:v>
                </c:pt>
                <c:pt idx="17">
                  <c:v>157.27000000000001</c:v>
                </c:pt>
                <c:pt idx="18">
                  <c:v>174.16</c:v>
                </c:pt>
                <c:pt idx="19">
                  <c:v>245.67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7-49DC-9615-7B1BF7CB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95512"/>
        <c:axId val="542100760"/>
      </c:barChart>
      <c:catAx>
        <c:axId val="5420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00760"/>
        <c:crosses val="autoZero"/>
        <c:auto val="1"/>
        <c:lblAlgn val="ctr"/>
        <c:lblOffset val="100"/>
        <c:noMultiLvlLbl val="0"/>
      </c:catAx>
      <c:valAx>
        <c:axId val="54210076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09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Selected Categories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categories &amp; dataset mapping'!$A$2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mapping'!$B$2,'20 categories &amp; dataset mapping'!$G$2,'20 categories &amp; dataset mapping'!$L$2,'20 categories &amp; dataset mapping'!$Q$2,'20 categories &amp; dataset mapping'!$U$2)</c:f>
              <c:numCache>
                <c:formatCode>General</c:formatCode>
                <c:ptCount val="5"/>
                <c:pt idx="0">
                  <c:v>2.4300000000000002</c:v>
                </c:pt>
                <c:pt idx="1">
                  <c:v>95.21</c:v>
                </c:pt>
                <c:pt idx="2">
                  <c:v>115.99</c:v>
                </c:pt>
                <c:pt idx="3">
                  <c:v>135.41</c:v>
                </c:pt>
                <c:pt idx="4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2-4A18-90B4-D0F46B4C269B}"/>
            </c:ext>
          </c:extLst>
        </c:ser>
        <c:ser>
          <c:idx val="1"/>
          <c:order val="1"/>
          <c:tx>
            <c:strRef>
              <c:f>'20 categories &amp; dataset mapping'!$A$3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mapping'!$B$3,'20 categories &amp; dataset mapping'!$G$3,'20 categories &amp; dataset mapping'!$L$3,'20 categories &amp; dataset mapping'!$Q$3,'20 categories &amp; dataset mapping'!$U$3)</c:f>
              <c:numCache>
                <c:formatCode>General</c:formatCode>
                <c:ptCount val="5"/>
                <c:pt idx="0">
                  <c:v>59.3</c:v>
                </c:pt>
                <c:pt idx="1">
                  <c:v>100.14</c:v>
                </c:pt>
                <c:pt idx="2">
                  <c:v>119.6</c:v>
                </c:pt>
                <c:pt idx="3">
                  <c:v>140.79</c:v>
                </c:pt>
                <c:pt idx="4">
                  <c:v>245.67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2-4A18-90B4-D0F46B4C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80592"/>
        <c:axId val="563581248"/>
      </c:barChart>
      <c:catAx>
        <c:axId val="5635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581248"/>
        <c:crosses val="autoZero"/>
        <c:auto val="1"/>
        <c:lblAlgn val="ctr"/>
        <c:lblOffset val="100"/>
        <c:noMultiLvlLbl val="0"/>
      </c:catAx>
      <c:valAx>
        <c:axId val="5635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5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Top-5 CNN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categories &amp; dataset mapping'!$A$9</c:f>
              <c:strCache>
                <c:ptCount val="1"/>
                <c:pt idx="0">
                  <c:v>MobileNet Top-5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mapping'!$B$9,'20 categories &amp; dataset mapping'!$G$9,'20 categories &amp; dataset mapping'!$L$9,'20 categories &amp; dataset mapping'!$Q$9,'20 categories &amp; dataset mapping'!$U$9)</c:f>
              <c:numCache>
                <c:formatCode>0.00%</c:formatCode>
                <c:ptCount val="5"/>
                <c:pt idx="0">
                  <c:v>0.87160000000000004</c:v>
                </c:pt>
                <c:pt idx="1">
                  <c:v>0.87360000000000004</c:v>
                </c:pt>
                <c:pt idx="2">
                  <c:v>0.87560000000000004</c:v>
                </c:pt>
                <c:pt idx="3">
                  <c:v>0.88319999999999999</c:v>
                </c:pt>
                <c:pt idx="4">
                  <c:v>0.89759999999999995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3-4918-BFEC-1C57D686F16C}"/>
            </c:ext>
          </c:extLst>
        </c:ser>
        <c:ser>
          <c:idx val="1"/>
          <c:order val="1"/>
          <c:tx>
            <c:strRef>
              <c:f>'20 categories &amp; dataset mapping'!$A$11</c:f>
              <c:strCache>
                <c:ptCount val="1"/>
                <c:pt idx="0">
                  <c:v>Inception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mapping'!$B$11,'20 categories &amp; dataset mapping'!$G$11,'20 categories &amp; dataset mapping'!$L$11,'20 categories &amp; dataset mapping'!$Q$11,'20 categories &amp; dataset mapping'!$U$11)</c:f>
              <c:numCache>
                <c:formatCode>0.00%</c:formatCode>
                <c:ptCount val="5"/>
                <c:pt idx="0">
                  <c:v>0.92120000000000002</c:v>
                </c:pt>
                <c:pt idx="1">
                  <c:v>0.93359999999999999</c:v>
                </c:pt>
                <c:pt idx="2">
                  <c:v>0.93159999999999998</c:v>
                </c:pt>
                <c:pt idx="3">
                  <c:v>0.93159999999999998</c:v>
                </c:pt>
                <c:pt idx="4">
                  <c:v>0.93759999999999999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3-4918-BFEC-1C57D686F16C}"/>
            </c:ext>
          </c:extLst>
        </c:ser>
        <c:ser>
          <c:idx val="2"/>
          <c:order val="2"/>
          <c:tx>
            <c:strRef>
              <c:f>'20 categories &amp; dataset mapping'!$A$13</c:f>
              <c:strCache>
                <c:ptCount val="1"/>
                <c:pt idx="0">
                  <c:v>ResNet Top-5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('20 categories &amp; dataset mapping'!$B$1,'20 categories &amp; dataset mapping'!$G$1,'20 categories &amp; dataset mapping'!$L$1,'20 categories &amp; dataset mapping'!$Q$1,'20 categories &amp; dataset mapping'!$U$1)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</c:numCache>
            </c:numRef>
          </c:cat>
          <c:val>
            <c:numRef>
              <c:f>('20 categories &amp; dataset mapping'!$B$13,'20 categories &amp; dataset mapping'!$G$13,'20 categories &amp; dataset mapping'!$L$13,'20 categories &amp; dataset mapping'!$Q$13,'20 categories &amp; dataset mapping'!$U$13)</c:f>
              <c:numCache>
                <c:formatCode>0.00%</c:formatCode>
                <c:ptCount val="5"/>
                <c:pt idx="0">
                  <c:v>0.87760000000000005</c:v>
                </c:pt>
                <c:pt idx="1">
                  <c:v>0.89400000000000002</c:v>
                </c:pt>
                <c:pt idx="2">
                  <c:v>0.89639999999999997</c:v>
                </c:pt>
                <c:pt idx="3">
                  <c:v>0.90720000000000001</c:v>
                </c:pt>
                <c:pt idx="4">
                  <c:v>0.90639999999999998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3-4918-BFEC-1C57D686F1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410264"/>
        <c:axId val="567414200"/>
      </c:lineChart>
      <c:catAx>
        <c:axId val="56741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Category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414200"/>
        <c:crosses val="autoZero"/>
        <c:auto val="1"/>
        <c:lblAlgn val="ctr"/>
        <c:lblOffset val="100"/>
        <c:noMultiLvlLbl val="0"/>
      </c:catAx>
      <c:valAx>
        <c:axId val="567414200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000000000000001E-2"/>
              <c:y val="0.2826079031787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41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MobileNet</a:t>
            </a:r>
            <a:r>
              <a:rPr lang="en-US" baseline="0"/>
              <a:t> Top-1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 categories &amp; dataset mapping'!$B$43</c:f>
              <c:strCache>
                <c:ptCount val="1"/>
                <c:pt idx="0">
                  <c:v>Reduced 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mapping'!$B$25:$B$31</c:f>
              <c:numCache>
                <c:formatCode>0.00%</c:formatCode>
                <c:ptCount val="7"/>
                <c:pt idx="2">
                  <c:v>0.71599999999999997</c:v>
                </c:pt>
                <c:pt idx="3">
                  <c:v>0.71599999999999997</c:v>
                </c:pt>
                <c:pt idx="4">
                  <c:v>0.71</c:v>
                </c:pt>
                <c:pt idx="5">
                  <c:v>0.66400000000000003</c:v>
                </c:pt>
                <c:pt idx="6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7-4027-93BB-0FCC3140E179}"/>
            </c:ext>
          </c:extLst>
        </c:ser>
        <c:ser>
          <c:idx val="0"/>
          <c:order val="1"/>
          <c:tx>
            <c:strRef>
              <c:f>'20 categories &amp; dataset mapping'!$D$43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3360707637612309E-2"/>
                  <c:y val="-4.3921442992734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60-44D8-92C1-149CB68BA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mapping'!$B$34:$H$34</c:f>
              <c:numCache>
                <c:formatCode>0.00%</c:formatCode>
                <c:ptCount val="7"/>
                <c:pt idx="0">
                  <c:v>0.69840000000000002</c:v>
                </c:pt>
                <c:pt idx="1">
                  <c:v>0.69799999999999995</c:v>
                </c:pt>
                <c:pt idx="2">
                  <c:v>0.68159999999999998</c:v>
                </c:pt>
                <c:pt idx="3">
                  <c:v>0.68520000000000003</c:v>
                </c:pt>
                <c:pt idx="4">
                  <c:v>0.68279999999999996</c:v>
                </c:pt>
                <c:pt idx="5">
                  <c:v>0.67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7-4027-93BB-0FCC3140E179}"/>
            </c:ext>
          </c:extLst>
        </c:ser>
        <c:ser>
          <c:idx val="2"/>
          <c:order val="2"/>
          <c:tx>
            <c:v>Premodel (Percentage)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1472175074998674E-2"/>
                  <c:y val="4.7738216238536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60-44D8-92C1-149CB68BAC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0-44D8-92C1-149CB68BACA1}"/>
            </c:ext>
          </c:extLst>
        </c:ser>
        <c:ser>
          <c:idx val="3"/>
          <c:order val="3"/>
          <c:tx>
            <c:v>Premodel (Category)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1-4DF9-BE91-D2224317A7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</a:t>
            </a:r>
            <a:r>
              <a:rPr lang="en-US" baseline="0"/>
              <a:t> Top-1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9237122387347"/>
          <c:y val="0.1217491926775192"/>
          <c:w val="0.86017435323012481"/>
          <c:h val="0.62134830996013923"/>
        </c:manualLayout>
      </c:layout>
      <c:lineChart>
        <c:grouping val="standard"/>
        <c:varyColors val="0"/>
        <c:ser>
          <c:idx val="1"/>
          <c:order val="0"/>
          <c:tx>
            <c:strRef>
              <c:f>'20 categories &amp; dataset mapping'!$B$43</c:f>
              <c:strCache>
                <c:ptCount val="1"/>
                <c:pt idx="0">
                  <c:v>Reduced 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5289035136612615E-2"/>
                  <c:y val="-1.8078492370821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7D-4AA5-A4F6-95C0683A8C16}"/>
                </c:ext>
              </c:extLst>
            </c:dLbl>
            <c:dLbl>
              <c:idx val="5"/>
              <c:layout>
                <c:manualLayout>
                  <c:x val="-4.7179228589726667E-2"/>
                  <c:y val="2.7876986127028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7D-4AA5-A4F6-95C0683A8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mapping'!$D$25:$D$31</c:f>
              <c:numCache>
                <c:formatCode>0.00%</c:formatCode>
                <c:ptCount val="7"/>
                <c:pt idx="2">
                  <c:v>0.754</c:v>
                </c:pt>
                <c:pt idx="3">
                  <c:v>0.745</c:v>
                </c:pt>
                <c:pt idx="4">
                  <c:v>0.747</c:v>
                </c:pt>
                <c:pt idx="5">
                  <c:v>0.72499999999999998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41D9-887B-182CE12F5AE6}"/>
            </c:ext>
          </c:extLst>
        </c:ser>
        <c:ser>
          <c:idx val="0"/>
          <c:order val="1"/>
          <c:tx>
            <c:strRef>
              <c:f>'20 categories &amp; dataset mapping'!$D$43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mapping'!$B$36:$H$36</c:f>
              <c:numCache>
                <c:formatCode>0.00%</c:formatCode>
                <c:ptCount val="7"/>
                <c:pt idx="0">
                  <c:v>0.76</c:v>
                </c:pt>
                <c:pt idx="1">
                  <c:v>0.77559999999999996</c:v>
                </c:pt>
                <c:pt idx="2">
                  <c:v>0.75719999999999998</c:v>
                </c:pt>
                <c:pt idx="3">
                  <c:v>0.76880000000000004</c:v>
                </c:pt>
                <c:pt idx="4">
                  <c:v>0.76680000000000004</c:v>
                </c:pt>
                <c:pt idx="5">
                  <c:v>0.73199999999999998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E-41D9-887B-182CE12F5AE6}"/>
            </c:ext>
          </c:extLst>
        </c:ser>
        <c:ser>
          <c:idx val="2"/>
          <c:order val="2"/>
          <c:tx>
            <c:v>Premodel (Percentage)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1508648230384519E-2"/>
                  <c:y val="2.1361026549239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7D-4AA5-A4F6-95C0683A8C16}"/>
                </c:ext>
              </c:extLst>
            </c:dLbl>
            <c:dLbl>
              <c:idx val="4"/>
              <c:layout>
                <c:manualLayout>
                  <c:x val="-4.5289035136612615E-2"/>
                  <c:y val="3.1208629084493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7D-4AA5-A4F6-95C0683A8C16}"/>
                </c:ext>
              </c:extLst>
            </c:dLbl>
            <c:dLbl>
              <c:idx val="5"/>
              <c:layout>
                <c:manualLayout>
                  <c:x val="-4.1508648230384658E-2"/>
                  <c:y val="4.10562316197471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7D-4AA5-A4F6-95C0683A8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D-4AA5-A4F6-95C0683A8C16}"/>
            </c:ext>
          </c:extLst>
        </c:ser>
        <c:ser>
          <c:idx val="3"/>
          <c:order val="3"/>
          <c:tx>
            <c:v>Premodel (Category)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6-42F1-BE0C-6A21150141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</a:t>
                </a:r>
                <a:r>
                  <a:rPr lang="en-US" baseline="0"/>
                  <a:t>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</a:t>
            </a:r>
            <a:r>
              <a:rPr lang="en-US" baseline="0"/>
              <a:t> Top-1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81275154887717"/>
          <c:y val="0.10893384087398131"/>
          <c:w val="0.86586824928120731"/>
          <c:h val="0.66120528569974935"/>
        </c:manualLayout>
      </c:layout>
      <c:lineChart>
        <c:grouping val="standard"/>
        <c:varyColors val="0"/>
        <c:ser>
          <c:idx val="1"/>
          <c:order val="0"/>
          <c:tx>
            <c:strRef>
              <c:f>'20 categories &amp; dataset mapping'!$B$43</c:f>
              <c:strCache>
                <c:ptCount val="1"/>
                <c:pt idx="0">
                  <c:v>Reduced 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1553108567029734E-2"/>
                  <c:y val="4.31622010695934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F-443E-A407-024D0133409D}"/>
                </c:ext>
              </c:extLst>
            </c:dLbl>
            <c:dLbl>
              <c:idx val="3"/>
              <c:layout>
                <c:manualLayout>
                  <c:x val="-3.9743304186932622E-2"/>
                  <c:y val="4.31622010695934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9F-443E-A407-024D01334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mapping'!$F$25:$F$31</c:f>
              <c:numCache>
                <c:formatCode>0.00%</c:formatCode>
                <c:ptCount val="7"/>
                <c:pt idx="2">
                  <c:v>0.71499999999999997</c:v>
                </c:pt>
                <c:pt idx="3">
                  <c:v>0.70799999999999996</c:v>
                </c:pt>
                <c:pt idx="4">
                  <c:v>0.67900000000000005</c:v>
                </c:pt>
                <c:pt idx="5">
                  <c:v>0.59799999999999998</c:v>
                </c:pt>
                <c:pt idx="6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8-43FC-93FF-E98F8B9497E7}"/>
            </c:ext>
          </c:extLst>
        </c:ser>
        <c:ser>
          <c:idx val="0"/>
          <c:order val="1"/>
          <c:tx>
            <c:strRef>
              <c:f>'20 categories &amp; dataset mapping'!$D$43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9821824046258163E-2"/>
                  <c:y val="-3.276114668681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B9-4A7D-800F-1331DC396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mapping'!$B$38:$H$38</c:f>
              <c:numCache>
                <c:formatCode>0.00%</c:formatCode>
                <c:ptCount val="7"/>
                <c:pt idx="0">
                  <c:v>0.71319999999999995</c:v>
                </c:pt>
                <c:pt idx="1">
                  <c:v>0.73880000000000001</c:v>
                </c:pt>
                <c:pt idx="2">
                  <c:v>0.71919999999999995</c:v>
                </c:pt>
                <c:pt idx="3">
                  <c:v>0.71399999999999997</c:v>
                </c:pt>
                <c:pt idx="4">
                  <c:v>0.70640000000000003</c:v>
                </c:pt>
                <c:pt idx="5">
                  <c:v>0.69699999999999995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8-43FC-93FF-E98F8B9497E7}"/>
            </c:ext>
          </c:extLst>
        </c:ser>
        <c:ser>
          <c:idx val="2"/>
          <c:order val="2"/>
          <c:tx>
            <c:v>Premodel (Percentage)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9818357974593759E-2"/>
                  <c:y val="-8.0745908994199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B9-4A7D-800F-1331DC396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9-4A7D-800F-1331DC396EC1}"/>
            </c:ext>
          </c:extLst>
        </c:ser>
        <c:ser>
          <c:idx val="3"/>
          <c:order val="3"/>
          <c:tx>
            <c:v>Premodel (Category)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74330418693256E-2"/>
                  <c:y val="1.881899291689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9F-443E-A407-024D0133409D}"/>
                </c:ext>
              </c:extLst>
            </c:dLbl>
            <c:dLbl>
              <c:idx val="2"/>
              <c:layout>
                <c:manualLayout>
                  <c:x val="-3.7933499806835511E-2"/>
                  <c:y val="3.03865994288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9F-443E-A407-024D0133409D}"/>
                </c:ext>
              </c:extLst>
            </c:dLbl>
            <c:dLbl>
              <c:idx val="3"/>
              <c:layout>
                <c:manualLayout>
                  <c:x val="-3.6123695426738399E-2"/>
                  <c:y val="3.0386599428815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F-443E-A407-024D0133409D}"/>
                </c:ext>
              </c:extLst>
            </c:dLbl>
            <c:dLbl>
              <c:idx val="5"/>
              <c:layout>
                <c:manualLayout>
                  <c:x val="-4.1553108567029665E-2"/>
                  <c:y val="2.4602796172852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F-443E-A407-024D01334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5-4029-9CEF-407D997D53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</a:t>
                </a:r>
                <a:r>
                  <a:rPr lang="en-US" baseline="0"/>
                  <a:t>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 CNN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categories &amp; dataset mapping'!$A$8</c:f>
              <c:strCache>
                <c:ptCount val="1"/>
                <c:pt idx="0">
                  <c:v>MobileNet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mapping'!$B$8:$U$8</c:f>
              <c:numCache>
                <c:formatCode>0.00%</c:formatCode>
                <c:ptCount val="20"/>
                <c:pt idx="0">
                  <c:v>0.66839999999999999</c:v>
                </c:pt>
                <c:pt idx="1">
                  <c:v>0.68279999999999996</c:v>
                </c:pt>
                <c:pt idx="2">
                  <c:v>0.68520000000000003</c:v>
                </c:pt>
                <c:pt idx="3">
                  <c:v>0.68520000000000003</c:v>
                </c:pt>
                <c:pt idx="4">
                  <c:v>0.6784</c:v>
                </c:pt>
                <c:pt idx="5">
                  <c:v>0.68640000000000001</c:v>
                </c:pt>
                <c:pt idx="6">
                  <c:v>0.66760000000000008</c:v>
                </c:pt>
                <c:pt idx="7">
                  <c:v>0.67879999999999996</c:v>
                </c:pt>
                <c:pt idx="8">
                  <c:v>0.6764</c:v>
                </c:pt>
                <c:pt idx="9">
                  <c:v>0.68159999999999998</c:v>
                </c:pt>
                <c:pt idx="10">
                  <c:v>0.68159999999999998</c:v>
                </c:pt>
                <c:pt idx="11">
                  <c:v>0.68359999999999999</c:v>
                </c:pt>
                <c:pt idx="12">
                  <c:v>0.69040000000000001</c:v>
                </c:pt>
                <c:pt idx="13">
                  <c:v>0.68159999999999998</c:v>
                </c:pt>
                <c:pt idx="14">
                  <c:v>0.69799999999999995</c:v>
                </c:pt>
                <c:pt idx="15">
                  <c:v>0.69479999999999997</c:v>
                </c:pt>
                <c:pt idx="16">
                  <c:v>0.7016</c:v>
                </c:pt>
                <c:pt idx="17">
                  <c:v>0.72199999999999998</c:v>
                </c:pt>
                <c:pt idx="18">
                  <c:v>0.68440000000000001</c:v>
                </c:pt>
                <c:pt idx="19">
                  <c:v>0.69840000000000002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A3E-9E1E-579F06C1BA30}"/>
            </c:ext>
          </c:extLst>
        </c:ser>
        <c:ser>
          <c:idx val="1"/>
          <c:order val="1"/>
          <c:tx>
            <c:strRef>
              <c:f>'20 categories &amp; dataset mapping'!$A$10</c:f>
              <c:strCache>
                <c:ptCount val="1"/>
                <c:pt idx="0">
                  <c:v>Inception Top-1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mapping'!$B$10:$U$10</c:f>
              <c:numCache>
                <c:formatCode>0.00%</c:formatCode>
                <c:ptCount val="20"/>
                <c:pt idx="0">
                  <c:v>0.74639999999999995</c:v>
                </c:pt>
                <c:pt idx="1">
                  <c:v>0.76680000000000004</c:v>
                </c:pt>
                <c:pt idx="2">
                  <c:v>0.75960000000000005</c:v>
                </c:pt>
                <c:pt idx="3">
                  <c:v>0.76880000000000004</c:v>
                </c:pt>
                <c:pt idx="4">
                  <c:v>0.754</c:v>
                </c:pt>
                <c:pt idx="5">
                  <c:v>0.7712</c:v>
                </c:pt>
                <c:pt idx="6">
                  <c:v>0.75599999999999989</c:v>
                </c:pt>
                <c:pt idx="7">
                  <c:v>0.74919999999999998</c:v>
                </c:pt>
                <c:pt idx="8">
                  <c:v>0.75</c:v>
                </c:pt>
                <c:pt idx="9">
                  <c:v>0.76359999999999995</c:v>
                </c:pt>
                <c:pt idx="10">
                  <c:v>0.75719999999999998</c:v>
                </c:pt>
                <c:pt idx="11">
                  <c:v>0.75280000000000002</c:v>
                </c:pt>
                <c:pt idx="12">
                  <c:v>0.77159999999999995</c:v>
                </c:pt>
                <c:pt idx="13">
                  <c:v>0.76280000000000003</c:v>
                </c:pt>
                <c:pt idx="14">
                  <c:v>0.77559999999999996</c:v>
                </c:pt>
                <c:pt idx="15">
                  <c:v>0.77</c:v>
                </c:pt>
                <c:pt idx="16">
                  <c:v>0.77599999999999991</c:v>
                </c:pt>
                <c:pt idx="17">
                  <c:v>0.79239999999999999</c:v>
                </c:pt>
                <c:pt idx="18">
                  <c:v>0.75840000000000007</c:v>
                </c:pt>
                <c:pt idx="1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A3E-9E1E-579F06C1BA30}"/>
            </c:ext>
          </c:extLst>
        </c:ser>
        <c:ser>
          <c:idx val="2"/>
          <c:order val="2"/>
          <c:tx>
            <c:strRef>
              <c:f>'20 categories &amp; dataset mapping'!$A$12</c:f>
              <c:strCache>
                <c:ptCount val="1"/>
                <c:pt idx="0">
                  <c:v>ResNet Top-1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 categories &amp; dataset mapping'!$B$1:$U$1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'20 categories &amp; dataset mapping'!$B$12:$U$12</c:f>
              <c:numCache>
                <c:formatCode>0.00%</c:formatCode>
                <c:ptCount val="20"/>
                <c:pt idx="0">
                  <c:v>0.69240000000000002</c:v>
                </c:pt>
                <c:pt idx="1">
                  <c:v>0.70640000000000003</c:v>
                </c:pt>
                <c:pt idx="2">
                  <c:v>0.6996</c:v>
                </c:pt>
                <c:pt idx="3">
                  <c:v>0.71399999999999997</c:v>
                </c:pt>
                <c:pt idx="4">
                  <c:v>0.6976</c:v>
                </c:pt>
                <c:pt idx="5">
                  <c:v>0.71440000000000003</c:v>
                </c:pt>
                <c:pt idx="6">
                  <c:v>0.70200000000000007</c:v>
                </c:pt>
                <c:pt idx="7">
                  <c:v>0.70679999999999998</c:v>
                </c:pt>
                <c:pt idx="8">
                  <c:v>0.70879999999999999</c:v>
                </c:pt>
                <c:pt idx="9">
                  <c:v>0.71360000000000001</c:v>
                </c:pt>
                <c:pt idx="10">
                  <c:v>0.71919999999999995</c:v>
                </c:pt>
                <c:pt idx="11">
                  <c:v>0.70519999999999994</c:v>
                </c:pt>
                <c:pt idx="12">
                  <c:v>0.73040000000000005</c:v>
                </c:pt>
                <c:pt idx="13">
                  <c:v>0.71240000000000003</c:v>
                </c:pt>
                <c:pt idx="14">
                  <c:v>0.73880000000000001</c:v>
                </c:pt>
                <c:pt idx="15">
                  <c:v>0.72560000000000002</c:v>
                </c:pt>
                <c:pt idx="16">
                  <c:v>0.72160000000000002</c:v>
                </c:pt>
                <c:pt idx="17">
                  <c:v>0.75319999999999998</c:v>
                </c:pt>
                <c:pt idx="18">
                  <c:v>0.69920000000000004</c:v>
                </c:pt>
                <c:pt idx="19">
                  <c:v>0.71319999999999995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A-4A3E-9E1E-579F06C1BA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7757080"/>
        <c:axId val="527754784"/>
      </c:lineChart>
      <c:catAx>
        <c:axId val="527757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Category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754784"/>
        <c:crosses val="autoZero"/>
        <c:auto val="1"/>
        <c:lblAlgn val="ctr"/>
        <c:lblOffset val="100"/>
        <c:noMultiLvlLbl val="0"/>
      </c:catAx>
      <c:valAx>
        <c:axId val="527754784"/>
        <c:scaling>
          <c:orientation val="minMax"/>
          <c:min val="0.6500000000000001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Accuracy,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7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Category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3-4C60-B1E2-B5607176B0E6}"/>
            </c:ext>
          </c:extLst>
        </c:ser>
        <c:ser>
          <c:idx val="0"/>
          <c:order val="1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3-4C60-B1E2-B5607176B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780560"/>
        <c:axId val="1649781040"/>
      </c:barChart>
      <c:catAx>
        <c:axId val="16497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Percentage Dataset</a:t>
                </a:r>
                <a:r>
                  <a:rPr lang="en-US" sz="1100" b="1" baseline="0"/>
                  <a:t> &amp; Corresponding Category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781040"/>
        <c:crosses val="autoZero"/>
        <c:auto val="1"/>
        <c:lblAlgn val="ctr"/>
        <c:lblOffset val="100"/>
        <c:noMultiLvlLbl val="0"/>
      </c:catAx>
      <c:valAx>
        <c:axId val="16497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Classification</a:t>
                </a:r>
                <a:r>
                  <a:rPr lang="en-US" sz="1100" b="1" baseline="0"/>
                  <a:t>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7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Percentage MobileNet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mapping'!$B$25:$B$31</c:f>
              <c:numCache>
                <c:formatCode>0.00%</c:formatCode>
                <c:ptCount val="7"/>
                <c:pt idx="2">
                  <c:v>0.71599999999999997</c:v>
                </c:pt>
                <c:pt idx="3">
                  <c:v>0.71599999999999997</c:v>
                </c:pt>
                <c:pt idx="4">
                  <c:v>0.71</c:v>
                </c:pt>
                <c:pt idx="5">
                  <c:v>0.66400000000000003</c:v>
                </c:pt>
                <c:pt idx="6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3-453B-8085-9AF79B2DEFC0}"/>
            </c:ext>
          </c:extLst>
        </c:ser>
        <c:ser>
          <c:idx val="0"/>
          <c:order val="1"/>
          <c:tx>
            <c:v>Category MobileNet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3360707637612309E-2"/>
                  <c:y val="-4.3921442992734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A3-453B-8085-9AF79B2DE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</c:strRef>
          </c:cat>
          <c:val>
            <c:numRef>
              <c:f>'20 categories &amp; dataset mapping'!$B$34:$H$34</c:f>
              <c:numCache>
                <c:formatCode>0.00%</c:formatCode>
                <c:ptCount val="7"/>
                <c:pt idx="0">
                  <c:v>0.69840000000000002</c:v>
                </c:pt>
                <c:pt idx="1">
                  <c:v>0.69799999999999995</c:v>
                </c:pt>
                <c:pt idx="2">
                  <c:v>0.68159999999999998</c:v>
                </c:pt>
                <c:pt idx="3">
                  <c:v>0.68520000000000003</c:v>
                </c:pt>
                <c:pt idx="4">
                  <c:v>0.68279999999999996</c:v>
                </c:pt>
                <c:pt idx="5">
                  <c:v>0.67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3-453B-8085-9AF79B2DEFC0}"/>
            </c:ext>
          </c:extLst>
        </c:ser>
        <c:ser>
          <c:idx val="2"/>
          <c:order val="2"/>
          <c:tx>
            <c:v>Percentage Inception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mapping'!$D$25:$D$31</c:f>
              <c:numCache>
                <c:formatCode>0.00%</c:formatCode>
                <c:ptCount val="7"/>
                <c:pt idx="2">
                  <c:v>0.754</c:v>
                </c:pt>
                <c:pt idx="3">
                  <c:v>0.745</c:v>
                </c:pt>
                <c:pt idx="4">
                  <c:v>0.747</c:v>
                </c:pt>
                <c:pt idx="5">
                  <c:v>0.72499999999999998</c:v>
                </c:pt>
                <c:pt idx="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3-453B-8085-9AF79B2DEFC0}"/>
            </c:ext>
          </c:extLst>
        </c:ser>
        <c:ser>
          <c:idx val="3"/>
          <c:order val="3"/>
          <c:tx>
            <c:v>Percentage ResNet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mapping'!$F$25:$F$31</c:f>
              <c:numCache>
                <c:formatCode>0.00%</c:formatCode>
                <c:ptCount val="7"/>
                <c:pt idx="2">
                  <c:v>0.71499999999999997</c:v>
                </c:pt>
                <c:pt idx="3">
                  <c:v>0.70799999999999996</c:v>
                </c:pt>
                <c:pt idx="4">
                  <c:v>0.67900000000000005</c:v>
                </c:pt>
                <c:pt idx="5">
                  <c:v>0.59799999999999998</c:v>
                </c:pt>
                <c:pt idx="6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A3-453B-8085-9AF79B2DEFC0}"/>
            </c:ext>
          </c:extLst>
        </c:ser>
        <c:ser>
          <c:idx val="4"/>
          <c:order val="4"/>
          <c:tx>
            <c:v>Categoty Inception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mapping'!$B$36:$H$36</c:f>
              <c:numCache>
                <c:formatCode>0.00%</c:formatCode>
                <c:ptCount val="7"/>
                <c:pt idx="0">
                  <c:v>0.76</c:v>
                </c:pt>
                <c:pt idx="1">
                  <c:v>0.77559999999999996</c:v>
                </c:pt>
                <c:pt idx="2">
                  <c:v>0.75719999999999998</c:v>
                </c:pt>
                <c:pt idx="3">
                  <c:v>0.76880000000000004</c:v>
                </c:pt>
                <c:pt idx="4">
                  <c:v>0.76680000000000004</c:v>
                </c:pt>
                <c:pt idx="5">
                  <c:v>0.73199999999999998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A3-453B-8085-9AF79B2DEFC0}"/>
            </c:ext>
          </c:extLst>
        </c:ser>
        <c:ser>
          <c:idx val="5"/>
          <c:order val="5"/>
          <c:tx>
            <c:v>Category ResNet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mapping'!$B$38:$H$38</c:f>
              <c:numCache>
                <c:formatCode>0.00%</c:formatCode>
                <c:ptCount val="7"/>
                <c:pt idx="0">
                  <c:v>0.71319999999999995</c:v>
                </c:pt>
                <c:pt idx="1">
                  <c:v>0.73880000000000001</c:v>
                </c:pt>
                <c:pt idx="2">
                  <c:v>0.71919999999999995</c:v>
                </c:pt>
                <c:pt idx="3">
                  <c:v>0.71399999999999997</c:v>
                </c:pt>
                <c:pt idx="4">
                  <c:v>0.70640000000000003</c:v>
                </c:pt>
                <c:pt idx="5">
                  <c:v>0.69699999999999995</c:v>
                </c:pt>
                <c:pt idx="6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A3-453B-8085-9AF79B2DEF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'CNN &amp; Size Comparison'!$E$17:$E$18</c:f>
              <c:strCache>
                <c:ptCount val="2"/>
                <c:pt idx="0">
                  <c:v>ResNet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Comparison'!$E$19:$E$23</c:f>
              <c:numCache>
                <c:formatCode>0.0%</c:formatCode>
                <c:ptCount val="5"/>
                <c:pt idx="0">
                  <c:v>0.46700000000000003</c:v>
                </c:pt>
                <c:pt idx="1">
                  <c:v>0.47199999999999998</c:v>
                </c:pt>
                <c:pt idx="2">
                  <c:v>0.49099999999999999</c:v>
                </c:pt>
                <c:pt idx="3">
                  <c:v>0.49299999999999999</c:v>
                </c:pt>
                <c:pt idx="4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4154-8670-13FE6CC103DB}"/>
            </c:ext>
          </c:extLst>
        </c:ser>
        <c:ser>
          <c:idx val="1"/>
          <c:order val="1"/>
          <c:tx>
            <c:strRef>
              <c:f>'CNN &amp; Size Comparison'!$F$17:$F$18</c:f>
              <c:strCache>
                <c:ptCount val="2"/>
                <c:pt idx="0">
                  <c:v>Inception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Comparison'!$F$19:$F$23</c:f>
              <c:numCache>
                <c:formatCode>0.0%</c:formatCode>
                <c:ptCount val="5"/>
                <c:pt idx="0">
                  <c:v>0.502</c:v>
                </c:pt>
                <c:pt idx="1">
                  <c:v>0.51300000000000001</c:v>
                </c:pt>
                <c:pt idx="2">
                  <c:v>0.51100000000000001</c:v>
                </c:pt>
                <c:pt idx="3">
                  <c:v>0.5</c:v>
                </c:pt>
                <c:pt idx="4">
                  <c:v>0.441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4154-8670-13FE6CC103DB}"/>
            </c:ext>
          </c:extLst>
        </c:ser>
        <c:ser>
          <c:idx val="2"/>
          <c:order val="2"/>
          <c:tx>
            <c:strRef>
              <c:f>'CNN &amp; Size Comparison'!$G$17:$G$18</c:f>
              <c:strCache>
                <c:ptCount val="2"/>
                <c:pt idx="0">
                  <c:v>ResNet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Comparison'!$G$19:$G$23</c:f>
              <c:numCache>
                <c:formatCode>0.0%</c:formatCode>
                <c:ptCount val="5"/>
                <c:pt idx="0">
                  <c:v>0.79300000000000004</c:v>
                </c:pt>
                <c:pt idx="1">
                  <c:v>0.79900000000000004</c:v>
                </c:pt>
                <c:pt idx="2">
                  <c:v>0.81200000000000006</c:v>
                </c:pt>
                <c:pt idx="3">
                  <c:v>0.74299999999999999</c:v>
                </c:pt>
                <c:pt idx="4">
                  <c:v>0.55800000000000005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C-4154-8670-13FE6CC103DB}"/>
            </c:ext>
          </c:extLst>
        </c:ser>
        <c:ser>
          <c:idx val="3"/>
          <c:order val="3"/>
          <c:tx>
            <c:strRef>
              <c:f>'CNN &amp; Size Comparison'!$H$17:$H$18</c:f>
              <c:strCache>
                <c:ptCount val="2"/>
                <c:pt idx="0">
                  <c:v>Inception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'CNN &amp; Size Comparison'!$D$19:$D$23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'CNN &amp; Size Comparison'!$H$19:$H$23</c:f>
              <c:numCache>
                <c:formatCode>0.0%</c:formatCode>
                <c:ptCount val="5"/>
                <c:pt idx="0">
                  <c:v>0.84399999999999997</c:v>
                </c:pt>
                <c:pt idx="1">
                  <c:v>0.83799999999999997</c:v>
                </c:pt>
                <c:pt idx="2">
                  <c:v>0.84699999999999998</c:v>
                </c:pt>
                <c:pt idx="3">
                  <c:v>0.83</c:v>
                </c:pt>
                <c:pt idx="4">
                  <c:v>0.746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C-4154-8670-13FE6CC103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20500208"/>
        <c:axId val="520497584"/>
      </c:barChart>
      <c:catAx>
        <c:axId val="52050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497584"/>
        <c:crosses val="autoZero"/>
        <c:auto val="1"/>
        <c:lblAlgn val="ctr"/>
        <c:lblOffset val="100"/>
        <c:noMultiLvlLbl val="0"/>
      </c:catAx>
      <c:valAx>
        <c:axId val="520497584"/>
        <c:scaling>
          <c:orientation val="minMax"/>
          <c:max val="0.95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 Accuracy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62176864763412"/>
          <c:y val="3.5634002556435521E-2"/>
          <c:w val="0.84489406003020573"/>
          <c:h val="0.70585013755979886"/>
        </c:manualLayout>
      </c:layout>
      <c:lineChart>
        <c:grouping val="standard"/>
        <c:varyColors val="0"/>
        <c:ser>
          <c:idx val="1"/>
          <c:order val="0"/>
          <c:tx>
            <c:v>MobileNet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  <c:extLst xmlns:c15="http://schemas.microsoft.com/office/drawing/2012/chart"/>
            </c:strRef>
          </c:cat>
          <c:val>
            <c:numRef>
              <c:f>'20 categories &amp; dataset mapping'!$B$25:$B$31</c:f>
              <c:numCache>
                <c:formatCode>0.00%</c:formatCode>
                <c:ptCount val="7"/>
                <c:pt idx="2">
                  <c:v>0.71599999999999997</c:v>
                </c:pt>
                <c:pt idx="3">
                  <c:v>0.71599999999999997</c:v>
                </c:pt>
                <c:pt idx="4">
                  <c:v>0.71</c:v>
                </c:pt>
                <c:pt idx="5">
                  <c:v>0.66400000000000003</c:v>
                </c:pt>
                <c:pt idx="6">
                  <c:v>0.434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17D-46B1-9DC7-7FFD64E966A2}"/>
            </c:ext>
          </c:extLst>
        </c:ser>
        <c:ser>
          <c:idx val="2"/>
          <c:order val="2"/>
          <c:tx>
            <c:v>Inception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6B-48B2-9BFA-A25EB84124F2}"/>
                </c:ext>
              </c:extLst>
            </c:dLbl>
            <c:dLbl>
              <c:idx val="5"/>
              <c:layout>
                <c:manualLayout>
                  <c:x val="-4.9608938547486173E-2"/>
                  <c:y val="-3.37762087832054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6B-48B2-9BFA-A25EB8412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 categories &amp; dataset mapping'!$D$25:$D$31</c:f>
              <c:numCache>
                <c:formatCode>0.00%</c:formatCode>
                <c:ptCount val="7"/>
                <c:pt idx="2">
                  <c:v>0.754</c:v>
                </c:pt>
                <c:pt idx="3">
                  <c:v>0.745</c:v>
                </c:pt>
                <c:pt idx="4">
                  <c:v>0.747</c:v>
                </c:pt>
                <c:pt idx="5">
                  <c:v>0.72499999999999998</c:v>
                </c:pt>
                <c:pt idx="6">
                  <c:v>0.6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17D-46B1-9DC7-7FFD64E966A2}"/>
            </c:ext>
          </c:extLst>
        </c:ser>
        <c:ser>
          <c:idx val="3"/>
          <c:order val="3"/>
          <c:tx>
            <c:v>ResNet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49-49EB-9DC9-44E8A588725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6B-48B2-9BFA-A25EB8412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mapping'!$F$25:$F$31</c:f>
              <c:numCache>
                <c:formatCode>0.00%</c:formatCode>
                <c:ptCount val="7"/>
                <c:pt idx="2">
                  <c:v>0.71499999999999997</c:v>
                </c:pt>
                <c:pt idx="3">
                  <c:v>0.70799999999999996</c:v>
                </c:pt>
                <c:pt idx="4">
                  <c:v>0.67900000000000005</c:v>
                </c:pt>
                <c:pt idx="5">
                  <c:v>0.59799999999999998</c:v>
                </c:pt>
                <c:pt idx="6">
                  <c:v>0.376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17D-46B1-9DC7-7FFD64E966A2}"/>
            </c:ext>
          </c:extLst>
        </c:ser>
        <c:ser>
          <c:idx val="6"/>
          <c:order val="6"/>
          <c:tx>
            <c:strRef>
              <c:f>'20 categories &amp; dataset mapping'!$H$22</c:f>
              <c:strCache>
                <c:ptCount val="1"/>
                <c:pt idx="0">
                  <c:v>Premodel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4.5288640595903165E-2"/>
                  <c:y val="2.231827949597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6B-48B2-9BFA-A25EB84124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mapping'!$H$25:$H$31</c:f>
              <c:numCache>
                <c:formatCode>General</c:formatCode>
                <c:ptCount val="7"/>
                <c:pt idx="2" formatCode="0.00%">
                  <c:v>0.77600000000000002</c:v>
                </c:pt>
                <c:pt idx="3" formatCode="0.00%">
                  <c:v>0.76600000000000001</c:v>
                </c:pt>
                <c:pt idx="4" formatCode="0.00%">
                  <c:v>0.74199999999999999</c:v>
                </c:pt>
                <c:pt idx="5" formatCode="0.00%">
                  <c:v>0.69899999999999995</c:v>
                </c:pt>
                <c:pt idx="6" formatCode="0.00%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B-48B2-9BFA-A25EB84124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MobileNet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6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17D-46B1-9DC7-7FFD64E966A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 categories &amp; dataset mapping'!$A$25:$A$31</c15:sqref>
                        </c15:formulaRef>
                      </c:ext>
                    </c:extLst>
                    <c:strCache>
                      <c:ptCount val="7"/>
                      <c:pt idx="0">
                        <c:v>Category 20</c:v>
                      </c:pt>
                      <c:pt idx="1">
                        <c:v>Category 15</c:v>
                      </c:pt>
                      <c:pt idx="2">
                        <c:v>100% (Category 11)</c:v>
                      </c:pt>
                      <c:pt idx="3">
                        <c:v>75% (Category 4)</c:v>
                      </c:pt>
                      <c:pt idx="4">
                        <c:v>50% (Category 2)</c:v>
                      </c:pt>
                      <c:pt idx="5">
                        <c:v>25% (Category 1: Second 1k)</c:v>
                      </c:pt>
                      <c:pt idx="6">
                        <c:v>10% (Category 1: First 200)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 categories &amp; dataset mapping'!$B$34:$H$34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0.69840000000000002</c:v>
                      </c:pt>
                      <c:pt idx="1">
                        <c:v>0.69799999999999995</c:v>
                      </c:pt>
                      <c:pt idx="2">
                        <c:v>0.68159999999999998</c:v>
                      </c:pt>
                      <c:pt idx="3">
                        <c:v>0.68520000000000003</c:v>
                      </c:pt>
                      <c:pt idx="4">
                        <c:v>0.68279999999999996</c:v>
                      </c:pt>
                      <c:pt idx="5">
                        <c:v>0.67</c:v>
                      </c:pt>
                      <c:pt idx="6">
                        <c:v>0.67500000000000004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7D-46B1-9DC7-7FFD64E966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Inception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categories &amp; dataset mapping'!$B$36:$H$36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0.76</c:v>
                      </c:pt>
                      <c:pt idx="1">
                        <c:v>0.77559999999999996</c:v>
                      </c:pt>
                      <c:pt idx="2">
                        <c:v>0.75719999999999998</c:v>
                      </c:pt>
                      <c:pt idx="3">
                        <c:v>0.76880000000000004</c:v>
                      </c:pt>
                      <c:pt idx="4">
                        <c:v>0.76680000000000004</c:v>
                      </c:pt>
                      <c:pt idx="5">
                        <c:v>0.73199999999999998</c:v>
                      </c:pt>
                      <c:pt idx="6">
                        <c:v>0.69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7D-46B1-9DC7-7FFD64E966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ResNet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6"/>
                    <c:layout>
                      <c:manualLayout>
                        <c:x val="-4.1268709140903873E-2"/>
                        <c:y val="1.961831275720164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BF4C-4F62-AECC-5738A20FEF1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categories &amp; dataset mapping'!$B$38:$H$38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0.71319999999999995</c:v>
                      </c:pt>
                      <c:pt idx="1">
                        <c:v>0.73880000000000001</c:v>
                      </c:pt>
                      <c:pt idx="2">
                        <c:v>0.71919999999999995</c:v>
                      </c:pt>
                      <c:pt idx="3">
                        <c:v>0.71399999999999997</c:v>
                      </c:pt>
                      <c:pt idx="4">
                        <c:v>0.70640000000000003</c:v>
                      </c:pt>
                      <c:pt idx="5">
                        <c:v>0.69699999999999995</c:v>
                      </c:pt>
                      <c:pt idx="6">
                        <c:v>0.67500000000000004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7D-46B1-9DC7-7FFD64E966A2}"/>
                  </c:ext>
                </c:extLst>
              </c15:ser>
            </c15:filteredLineSeries>
          </c:ext>
        </c:extLst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Classification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62769013984507"/>
          <c:y val="3.0613374485596707E-2"/>
          <c:w val="0.84418183261751434"/>
          <c:h val="0.73924711934156384"/>
        </c:manualLayout>
      </c:layout>
      <c:lineChart>
        <c:grouping val="standard"/>
        <c:varyColors val="0"/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MobileNet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'20 categories &amp; dataset mapping'!$A$25:$A$31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 categories &amp; dataset mapping'!$B$25:$B$31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56-4DE4-8677-45AE4A2518A3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MobileNet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4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FC56-4DE4-8677-45AE4A2518A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mapping'!$A$25:$A$31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mapping'!$B$34:$H$34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56-4DE4-8677-45AE4A2518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Inception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mapping'!$D$25:$D$31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56-4DE4-8677-45AE4A2518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ResNet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FC56-4DE4-8677-45AE4A2518A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mapping'!$F$25:$F$31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56-4DE4-8677-45AE4A2518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Inception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mapping'!$B$36:$H$36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56-4DE4-8677-45AE4A2518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ResNet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 categories &amp; dataset mapping'!$B$38:$H$38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0.00%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56-4DE4-8677-45AE4A2518A3}"/>
                  </c:ext>
                </c:extLst>
              </c15:ser>
            </c15:filteredLineSeries>
          </c:ext>
        </c:extLst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Classification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62176864763412"/>
          <c:y val="3.5634002556435521E-2"/>
          <c:w val="0.84489406003020573"/>
          <c:h val="0.70585013755979886"/>
        </c:manualLayout>
      </c:layout>
      <c:lineChart>
        <c:grouping val="standard"/>
        <c:varyColors val="0"/>
        <c:ser>
          <c:idx val="0"/>
          <c:order val="1"/>
          <c:tx>
            <c:v>MobileNet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93-4850-B5DB-C56B32FD0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categories &amp; dataset mapping'!$A$25:$A$31</c:f>
              <c:strCache>
                <c:ptCount val="7"/>
                <c:pt idx="0">
                  <c:v>Category 20</c:v>
                </c:pt>
                <c:pt idx="1">
                  <c:v>Category 15</c:v>
                </c:pt>
                <c:pt idx="2">
                  <c:v>100% (Category 11)</c:v>
                </c:pt>
                <c:pt idx="3">
                  <c:v>75% (Category 4)</c:v>
                </c:pt>
                <c:pt idx="4">
                  <c:v>50% (Category 2)</c:v>
                </c:pt>
                <c:pt idx="5">
                  <c:v>25% (Category 1: Second 1k)</c:v>
                </c:pt>
                <c:pt idx="6">
                  <c:v>10% (Category 1: First 200)</c:v>
                </c:pt>
              </c:strCache>
              <c:extLst xmlns:c15="http://schemas.microsoft.com/office/drawing/2012/chart"/>
            </c:strRef>
          </c:cat>
          <c:val>
            <c:numRef>
              <c:f>'20 categories &amp; dataset mapping'!$B$34:$H$34</c:f>
              <c:numCache>
                <c:formatCode>0.00%</c:formatCode>
                <c:ptCount val="7"/>
                <c:pt idx="0">
                  <c:v>0.69840000000000002</c:v>
                </c:pt>
                <c:pt idx="1">
                  <c:v>0.69799999999999995</c:v>
                </c:pt>
                <c:pt idx="2">
                  <c:v>0.68159999999999998</c:v>
                </c:pt>
                <c:pt idx="3">
                  <c:v>0.68520000000000003</c:v>
                </c:pt>
                <c:pt idx="4">
                  <c:v>0.68279999999999996</c:v>
                </c:pt>
                <c:pt idx="5">
                  <c:v>0.67</c:v>
                </c:pt>
                <c:pt idx="6">
                  <c:v>0.67500000000000004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E93-4850-B5DB-C56B32FD05AE}"/>
            </c:ext>
          </c:extLst>
        </c:ser>
        <c:ser>
          <c:idx val="4"/>
          <c:order val="4"/>
          <c:tx>
            <c:v>Inception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mapping'!$B$36:$H$36</c:f>
              <c:numCache>
                <c:formatCode>0.00%</c:formatCode>
                <c:ptCount val="7"/>
                <c:pt idx="0">
                  <c:v>0.76</c:v>
                </c:pt>
                <c:pt idx="1">
                  <c:v>0.77559999999999996</c:v>
                </c:pt>
                <c:pt idx="2">
                  <c:v>0.75719999999999998</c:v>
                </c:pt>
                <c:pt idx="3">
                  <c:v>0.76880000000000004</c:v>
                </c:pt>
                <c:pt idx="4">
                  <c:v>0.76680000000000004</c:v>
                </c:pt>
                <c:pt idx="5">
                  <c:v>0.73199999999999998</c:v>
                </c:pt>
                <c:pt idx="6">
                  <c:v>0.69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E93-4850-B5DB-C56B32FD05AE}"/>
            </c:ext>
          </c:extLst>
        </c:ser>
        <c:ser>
          <c:idx val="5"/>
          <c:order val="5"/>
          <c:tx>
            <c:v>ResNet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1268709140903873E-2"/>
                  <c:y val="1.9618312757201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93-4850-B5DB-C56B32FD0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mapping'!$B$38:$H$38</c:f>
              <c:numCache>
                <c:formatCode>0.00%</c:formatCode>
                <c:ptCount val="7"/>
                <c:pt idx="0">
                  <c:v>0.71319999999999995</c:v>
                </c:pt>
                <c:pt idx="1">
                  <c:v>0.73880000000000001</c:v>
                </c:pt>
                <c:pt idx="2">
                  <c:v>0.71919999999999995</c:v>
                </c:pt>
                <c:pt idx="3">
                  <c:v>0.71399999999999997</c:v>
                </c:pt>
                <c:pt idx="4">
                  <c:v>0.70640000000000003</c:v>
                </c:pt>
                <c:pt idx="5">
                  <c:v>0.69699999999999995</c:v>
                </c:pt>
                <c:pt idx="6">
                  <c:v>0.67500000000000004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0E93-4850-B5DB-C56B32FD05AE}"/>
            </c:ext>
          </c:extLst>
        </c:ser>
        <c:ser>
          <c:idx val="7"/>
          <c:order val="7"/>
          <c:tx>
            <c:v>Premodel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408805730189834E-2"/>
                  <c:y val="-2.7046954258902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E93-4850-B5DB-C56B32FD05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93-4850-B5DB-C56B32FD0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 categories &amp; dataset mapping'!$B$40:$H$40</c:f>
              <c:numCache>
                <c:formatCode>0.00%</c:formatCode>
                <c:ptCount val="7"/>
                <c:pt idx="0">
                  <c:v>0.70520000000000005</c:v>
                </c:pt>
                <c:pt idx="1">
                  <c:v>0.7036</c:v>
                </c:pt>
                <c:pt idx="2">
                  <c:v>0.68679999999999997</c:v>
                </c:pt>
                <c:pt idx="3">
                  <c:v>0.6956</c:v>
                </c:pt>
                <c:pt idx="4">
                  <c:v>0.68720000000000003</c:v>
                </c:pt>
                <c:pt idx="5">
                  <c:v>0.66700000000000004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93-4850-B5DB-C56B32FD05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500111"/>
        <c:axId val="242505519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MobileNet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 categories &amp; dataset mapping'!$A$25:$A$31</c15:sqref>
                        </c15:formulaRef>
                      </c:ext>
                    </c:extLst>
                    <c:strCache>
                      <c:ptCount val="7"/>
                      <c:pt idx="0">
                        <c:v>Category 20</c:v>
                      </c:pt>
                      <c:pt idx="1">
                        <c:v>Category 15</c:v>
                      </c:pt>
                      <c:pt idx="2">
                        <c:v>100% (Category 11)</c:v>
                      </c:pt>
                      <c:pt idx="3">
                        <c:v>75% (Category 4)</c:v>
                      </c:pt>
                      <c:pt idx="4">
                        <c:v>50% (Category 2)</c:v>
                      </c:pt>
                      <c:pt idx="5">
                        <c:v>25% (Category 1: Second 1k)</c:v>
                      </c:pt>
                      <c:pt idx="6">
                        <c:v>10% (Category 1: First 200)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 categories &amp; dataset mapping'!$B$25:$B$31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2">
                        <c:v>0.71599999999999997</c:v>
                      </c:pt>
                      <c:pt idx="3">
                        <c:v>0.71599999999999997</c:v>
                      </c:pt>
                      <c:pt idx="4">
                        <c:v>0.71</c:v>
                      </c:pt>
                      <c:pt idx="5">
                        <c:v>0.66400000000000003</c:v>
                      </c:pt>
                      <c:pt idx="6">
                        <c:v>0.434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93-4850-B5DB-C56B32FD05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Inception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4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0E93-4850-B5DB-C56B32FD05AE}"/>
                      </c:ext>
                    </c:extLst>
                  </c:dLbl>
                  <c:dLbl>
                    <c:idx val="5"/>
                    <c:layout>
                      <c:manualLayout>
                        <c:x val="-4.9608938547486173E-2"/>
                        <c:y val="-3.377620878320543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0E93-4850-B5DB-C56B32FD05A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categories &amp; dataset mapping'!$D$25:$D$31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2">
                        <c:v>0.754</c:v>
                      </c:pt>
                      <c:pt idx="3">
                        <c:v>0.745</c:v>
                      </c:pt>
                      <c:pt idx="4">
                        <c:v>0.747</c:v>
                      </c:pt>
                      <c:pt idx="5">
                        <c:v>0.72499999999999998</c:v>
                      </c:pt>
                      <c:pt idx="6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93-4850-B5DB-C56B32FD05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ResNet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2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0E93-4850-B5DB-C56B32FD05AE}"/>
                      </c:ext>
                    </c:extLst>
                  </c:dLbl>
                  <c:dLbl>
                    <c:idx val="3"/>
                    <c:delete val="1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0E93-4850-B5DB-C56B32FD05A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 categories &amp; dataset mapping'!$F$25:$F$31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2">
                        <c:v>0.71499999999999997</c:v>
                      </c:pt>
                      <c:pt idx="3">
                        <c:v>0.70799999999999996</c:v>
                      </c:pt>
                      <c:pt idx="4">
                        <c:v>0.67900000000000005</c:v>
                      </c:pt>
                      <c:pt idx="5">
                        <c:v>0.59799999999999998</c:v>
                      </c:pt>
                      <c:pt idx="6">
                        <c:v>0.376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93-4850-B5DB-C56B32FD05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 categories &amp; dataset mapping'!$H$22</c15:sqref>
                        </c15:formulaRef>
                      </c:ext>
                    </c:extLst>
                    <c:strCache>
                      <c:ptCount val="1"/>
                      <c:pt idx="0">
                        <c:v>Premodel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5"/>
                    <c:layout>
                      <c:manualLayout>
                        <c:x val="-4.5288640595903165E-2"/>
                        <c:y val="2.231827949597961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0E93-4850-B5DB-C56B32FD05A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 categories &amp; dataset mapping'!$H$25:$H$31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2" formatCode="0.00%">
                        <c:v>0.77600000000000002</c:v>
                      </c:pt>
                      <c:pt idx="3" formatCode="0.00%">
                        <c:v>0.76600000000000001</c:v>
                      </c:pt>
                      <c:pt idx="4" formatCode="0.00%">
                        <c:v>0.74199999999999999</c:v>
                      </c:pt>
                      <c:pt idx="5" formatCode="0.00%">
                        <c:v>0.69899999999999995</c:v>
                      </c:pt>
                      <c:pt idx="6" formatCode="0.00%">
                        <c:v>0.61199999999999999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E93-4850-B5DB-C56B32FD05AE}"/>
                  </c:ext>
                </c:extLst>
              </c15:ser>
            </c15:filteredLineSeries>
          </c:ext>
        </c:extLst>
      </c:lineChart>
      <c:catAx>
        <c:axId val="2425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Brightness Level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5519"/>
        <c:crosses val="autoZero"/>
        <c:auto val="1"/>
        <c:lblAlgn val="ctr"/>
        <c:lblOffset val="100"/>
        <c:noMultiLvlLbl val="0"/>
      </c:catAx>
      <c:valAx>
        <c:axId val="2425055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Classification Accuracy</a:t>
                </a:r>
                <a:endParaRPr lang="ru-RU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MobileNet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Car_related'!$B$20:$B$24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0.74</c:v>
                </c:pt>
                <c:pt idx="3">
                  <c:v>0.74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12F-9FCB-6CD0CD1FB113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Car_related'!$J$20:$J$24</c:f>
              <c:numCache>
                <c:formatCode>General</c:formatCode>
                <c:ptCount val="5"/>
                <c:pt idx="0">
                  <c:v>0.75</c:v>
                </c:pt>
                <c:pt idx="1">
                  <c:v>0.73</c:v>
                </c:pt>
                <c:pt idx="2">
                  <c:v>0.72</c:v>
                </c:pt>
                <c:pt idx="3">
                  <c:v>0.71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12F-9FCB-6CD0CD1FB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Inception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Car_related'!$D$2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Car_related'!$D$5:$D$9</c:f>
              <c:numCache>
                <c:formatCode>General</c:formatCode>
                <c:ptCount val="5"/>
                <c:pt idx="0">
                  <c:v>0.52</c:v>
                </c:pt>
                <c:pt idx="1">
                  <c:v>0.52</c:v>
                </c:pt>
                <c:pt idx="2">
                  <c:v>0.5</c:v>
                </c:pt>
                <c:pt idx="3">
                  <c:v>0.49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E-4022-ACE7-5530B86188A8}"/>
            </c:ext>
          </c:extLst>
        </c:ser>
        <c:ser>
          <c:idx val="1"/>
          <c:order val="1"/>
          <c:tx>
            <c:strRef>
              <c:f>'Bal_Unbal Car_related'!$L$2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Car_related'!$L$5:$L$9</c:f>
              <c:numCache>
                <c:formatCode>General</c:formatCode>
                <c:ptCount val="5"/>
                <c:pt idx="0">
                  <c:v>0.5</c:v>
                </c:pt>
                <c:pt idx="1">
                  <c:v>0.49</c:v>
                </c:pt>
                <c:pt idx="2">
                  <c:v>0.48</c:v>
                </c:pt>
                <c:pt idx="3">
                  <c:v>0.45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E-4022-ACE7-5530B86188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092208"/>
        <c:axId val="585096472"/>
      </c:lineChart>
      <c:catAx>
        <c:axId val="5850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6472"/>
        <c:crosses val="autoZero"/>
        <c:auto val="1"/>
        <c:lblAlgn val="ctr"/>
        <c:lblOffset val="100"/>
        <c:noMultiLvlLbl val="0"/>
      </c:catAx>
      <c:valAx>
        <c:axId val="5850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MobileNet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Car_related'!$C$2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Car_related'!$C$5:$C$9</c:f>
              <c:numCache>
                <c:formatCode>General</c:formatCode>
                <c:ptCount val="5"/>
                <c:pt idx="0">
                  <c:v>0.74</c:v>
                </c:pt>
                <c:pt idx="1">
                  <c:v>0.73</c:v>
                </c:pt>
                <c:pt idx="2">
                  <c:v>0.73</c:v>
                </c:pt>
                <c:pt idx="3">
                  <c:v>0.7</c:v>
                </c:pt>
                <c:pt idx="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2-4024-B317-254AD1A73C6E}"/>
            </c:ext>
          </c:extLst>
        </c:ser>
        <c:ser>
          <c:idx val="1"/>
          <c:order val="1"/>
          <c:tx>
            <c:strRef>
              <c:f>'Bal_Unbal Car_related'!$K$2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Car_related'!$K$5:$K$9</c:f>
              <c:numCache>
                <c:formatCode>General</c:formatCode>
                <c:ptCount val="5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0.66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2-4024-B317-254AD1A73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092208"/>
        <c:axId val="585096472"/>
      </c:lineChart>
      <c:catAx>
        <c:axId val="5850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6472"/>
        <c:crosses val="autoZero"/>
        <c:auto val="1"/>
        <c:lblAlgn val="ctr"/>
        <c:lblOffset val="100"/>
        <c:noMultiLvlLbl val="0"/>
      </c:catAx>
      <c:valAx>
        <c:axId val="58509647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Inception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Car_related'!$E$2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Car_related'!$E$5:$E$9</c:f>
              <c:numCache>
                <c:formatCode>General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0.73</c:v>
                </c:pt>
                <c:pt idx="3">
                  <c:v>0.69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2-4826-8964-B82050E9AA26}"/>
            </c:ext>
          </c:extLst>
        </c:ser>
        <c:ser>
          <c:idx val="1"/>
          <c:order val="1"/>
          <c:tx>
            <c:strRef>
              <c:f>'Bal_Unbal Car_related'!$M$2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Car_related'!$M$5:$M$9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0.71</c:v>
                </c:pt>
                <c:pt idx="3">
                  <c:v>0.65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2-4826-8964-B82050E9AA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092208"/>
        <c:axId val="585096472"/>
      </c:lineChart>
      <c:catAx>
        <c:axId val="5850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6472"/>
        <c:crosses val="autoZero"/>
        <c:auto val="1"/>
        <c:lblAlgn val="ctr"/>
        <c:lblOffset val="100"/>
        <c:noMultiLvlLbl val="0"/>
      </c:catAx>
      <c:valAx>
        <c:axId val="58509647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MobileNet (Top-1)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Car_related'!$B$2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5729221347331685E-2"/>
                  <c:y val="-4.864574219889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A8-4FEE-8131-D7532168E783}"/>
                </c:ext>
              </c:extLst>
            </c:dLbl>
            <c:dLbl>
              <c:idx val="4"/>
              <c:layout>
                <c:manualLayout>
                  <c:x val="-4.217366579177613E-2"/>
                  <c:y val="-5.790500145815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A8-4FEE-8131-D7532168E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Car_related'!$B$5:$B$9</c:f>
              <c:numCache>
                <c:formatCode>General</c:formatCode>
                <c:ptCount val="5"/>
                <c:pt idx="0">
                  <c:v>0.48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8-4FEE-8131-D7532168E783}"/>
            </c:ext>
          </c:extLst>
        </c:ser>
        <c:ser>
          <c:idx val="1"/>
          <c:order val="1"/>
          <c:tx>
            <c:strRef>
              <c:f>'Bal_Unbal Car_related'!$J$2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2951443569553806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A8-4FEE-8131-D7532168E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Car_related'!$J$5:$J$9</c:f>
              <c:numCache>
                <c:formatCode>General</c:formatCode>
                <c:ptCount val="5"/>
                <c:pt idx="0">
                  <c:v>0.48</c:v>
                </c:pt>
                <c:pt idx="1">
                  <c:v>0.49</c:v>
                </c:pt>
                <c:pt idx="2">
                  <c:v>0.5</c:v>
                </c:pt>
                <c:pt idx="3">
                  <c:v>0.45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8-4FEE-8131-D7532168E7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Balanced With</a:t>
            </a:r>
            <a:r>
              <a:rPr lang="en-US" b="1" baseline="0"/>
              <a:t> Inception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Car_related'!$D$20:$D$24</c:f>
              <c:numCache>
                <c:formatCode>General</c:formatCode>
                <c:ptCount val="5"/>
                <c:pt idx="0">
                  <c:v>0.79</c:v>
                </c:pt>
                <c:pt idx="1">
                  <c:v>0.81</c:v>
                </c:pt>
                <c:pt idx="2">
                  <c:v>0.81</c:v>
                </c:pt>
                <c:pt idx="3">
                  <c:v>0.78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40D-8496-B73C1AFA4480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Car_related'!$L$20:$L$24</c:f>
              <c:numCache>
                <c:formatCode>General</c:formatCode>
                <c:ptCount val="5"/>
                <c:pt idx="0">
                  <c:v>0.78</c:v>
                </c:pt>
                <c:pt idx="1">
                  <c:v>0.77</c:v>
                </c:pt>
                <c:pt idx="2">
                  <c:v>0.74</c:v>
                </c:pt>
                <c:pt idx="3">
                  <c:v>0.71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5-440D-8496-B73C1AFA44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MobileNet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Car_related'!$C$20:$C$24</c:f>
              <c:numCache>
                <c:formatCode>General</c:formatCode>
                <c:ptCount val="5"/>
                <c:pt idx="0">
                  <c:v>0.89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9-4FDD-9B1C-CF83C61DF185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Car_related'!$K$20:$K$24</c:f>
              <c:numCache>
                <c:formatCode>General</c:formatCode>
                <c:ptCount val="5"/>
                <c:pt idx="0">
                  <c:v>0.89</c:v>
                </c:pt>
                <c:pt idx="1">
                  <c:v>0.88</c:v>
                </c:pt>
                <c:pt idx="2">
                  <c:v>0.88</c:v>
                </c:pt>
                <c:pt idx="3">
                  <c:v>0.86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9-4FDD-9B1C-CF83C61DF1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13k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'Balance&amp;Type Comparison'!$B$1:$B$2</c:f>
              <c:strCache>
                <c:ptCount val="2"/>
                <c:pt idx="0">
                  <c:v>Balanced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6.2578015629131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2A-45CE-BDE7-594BE4ED6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Comparison'!$B$3:$B$7</c:f>
              <c:numCache>
                <c:formatCode>0.0%</c:formatCode>
                <c:ptCount val="5"/>
                <c:pt idx="0">
                  <c:v>0.53100000000000003</c:v>
                </c:pt>
                <c:pt idx="1">
                  <c:v>0.49092307692307691</c:v>
                </c:pt>
                <c:pt idx="2">
                  <c:v>0.48523076923076919</c:v>
                </c:pt>
                <c:pt idx="3">
                  <c:v>0.4703846153846154</c:v>
                </c:pt>
                <c:pt idx="4">
                  <c:v>0.41215384615384615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A-45CE-BDE7-594BE4ED6BC8}"/>
            </c:ext>
          </c:extLst>
        </c:ser>
        <c:ser>
          <c:idx val="1"/>
          <c:order val="1"/>
          <c:tx>
            <c:strRef>
              <c:f>'Balance&amp;Type Comparison'!$C$1:$C$2</c:f>
              <c:strCache>
                <c:ptCount val="2"/>
                <c:pt idx="0">
                  <c:v>Unbalanced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Comparison'!$C$3:$C$7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A-45CE-BDE7-594BE4ED6BC8}"/>
            </c:ext>
          </c:extLst>
        </c:ser>
        <c:ser>
          <c:idx val="2"/>
          <c:order val="2"/>
          <c:tx>
            <c:strRef>
              <c:f>'Balance&amp;Type Comparison'!$D$1:$D$2</c:f>
              <c:strCache>
                <c:ptCount val="2"/>
                <c:pt idx="0">
                  <c:v>Balanced</c:v>
                </c:pt>
                <c:pt idx="1">
                  <c:v>Top-5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Comparison'!$D$3:$D$7</c:f>
              <c:numCache>
                <c:formatCode>0.0%</c:formatCode>
                <c:ptCount val="5"/>
                <c:pt idx="0">
                  <c:v>0.82369230769230772</c:v>
                </c:pt>
                <c:pt idx="1">
                  <c:v>0.78453846153846163</c:v>
                </c:pt>
                <c:pt idx="2">
                  <c:v>0.7786153846153846</c:v>
                </c:pt>
                <c:pt idx="3">
                  <c:v>0.75715384615384618</c:v>
                </c:pt>
                <c:pt idx="4">
                  <c:v>0.67376923076923079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A-45CE-BDE7-594BE4ED6BC8}"/>
            </c:ext>
          </c:extLst>
        </c:ser>
        <c:ser>
          <c:idx val="3"/>
          <c:order val="3"/>
          <c:tx>
            <c:strRef>
              <c:f>'Balance&amp;Type Comparison'!$E$1:$E$2</c:f>
              <c:strCache>
                <c:ptCount val="2"/>
                <c:pt idx="0">
                  <c:v>Unbalanced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Comparison'!$E$3:$E$7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0.879</c:v>
                </c:pt>
                <c:pt idx="4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A-45CE-BDE7-594BE4ED6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45444040"/>
        <c:axId val="645445024"/>
      </c:barChart>
      <c:catAx>
        <c:axId val="64544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445024"/>
        <c:crosses val="autoZero"/>
        <c:auto val="1"/>
        <c:lblAlgn val="ctr"/>
        <c:lblOffset val="100"/>
        <c:noMultiLvlLbl val="0"/>
      </c:catAx>
      <c:valAx>
        <c:axId val="645445024"/>
        <c:scaling>
          <c:orientation val="minMax"/>
          <c:max val="0.95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4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Unbalanced With</a:t>
            </a:r>
            <a:r>
              <a:rPr lang="en-US" b="1" baseline="0"/>
              <a:t> Inception (Top-5)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'Bal_Unbal Car_related'!$A$17:$F$17</c:f>
              <c:strCache>
                <c:ptCount val="1"/>
                <c:pt idx="0">
                  <c:v>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Car_related'!$E$20:$E$24</c:f>
              <c:numCache>
                <c:formatCode>General</c:formatCode>
                <c:ptCount val="5"/>
                <c:pt idx="0">
                  <c:v>0.9</c:v>
                </c:pt>
                <c:pt idx="1">
                  <c:v>0.91</c:v>
                </c:pt>
                <c:pt idx="2">
                  <c:v>0.91</c:v>
                </c:pt>
                <c:pt idx="3">
                  <c:v>0.88</c:v>
                </c:pt>
                <c:pt idx="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F6A-A166-1AD43D300FCB}"/>
            </c:ext>
          </c:extLst>
        </c:ser>
        <c:ser>
          <c:idx val="1"/>
          <c:order val="1"/>
          <c:tx>
            <c:strRef>
              <c:f>'Bal_Unbal Car_related'!$I$17:$N$17</c:f>
              <c:strCache>
                <c:ptCount val="1"/>
                <c:pt idx="0">
                  <c:v>Not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'Bal_Unbal Car_related'!$A$5:$A$9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'Bal_Unbal Car_related'!$M$20:$M$24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0.85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F6A-A166-1AD43D300F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726832"/>
        <c:axId val="582728800"/>
      </c:lineChart>
      <c:catAx>
        <c:axId val="582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Brightness Level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8800"/>
        <c:crosses val="autoZero"/>
        <c:auto val="1"/>
        <c:lblAlgn val="ctr"/>
        <c:lblOffset val="100"/>
        <c:noMultiLvlLbl val="0"/>
      </c:catAx>
      <c:valAx>
        <c:axId val="58272880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 b="1"/>
              <a:t>Currents Datasets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'car_related and usual'!$A$2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'car_related and usual'!$B$1:$E$1</c:f>
              <c:strCache>
                <c:ptCount val="4"/>
                <c:pt idx="0">
                  <c:v>1k Bal</c:v>
                </c:pt>
                <c:pt idx="1">
                  <c:v>1k Unbal</c:v>
                </c:pt>
                <c:pt idx="2">
                  <c:v>Bal Car-related</c:v>
                </c:pt>
                <c:pt idx="3">
                  <c:v>Unbal Car-related</c:v>
                </c:pt>
              </c:strCache>
            </c:strRef>
          </c:cat>
          <c:val>
            <c:numRef>
              <c:f>'car_related and usual'!$B$2:$E$2</c:f>
              <c:numCache>
                <c:formatCode>General</c:formatCode>
                <c:ptCount val="4"/>
                <c:pt idx="0">
                  <c:v>500</c:v>
                </c:pt>
                <c:pt idx="1">
                  <c:v>800</c:v>
                </c:pt>
                <c:pt idx="2">
                  <c:v>156</c:v>
                </c:pt>
                <c:pt idx="3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F7F-B0FC-335C3164A89E}"/>
            </c:ext>
          </c:extLst>
        </c:ser>
        <c:ser>
          <c:idx val="1"/>
          <c:order val="1"/>
          <c:tx>
            <c:strRef>
              <c:f>'car_related and usual'!$A$3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'car_related and usual'!$B$1:$E$1</c:f>
              <c:strCache>
                <c:ptCount val="4"/>
                <c:pt idx="0">
                  <c:v>1k Bal</c:v>
                </c:pt>
                <c:pt idx="1">
                  <c:v>1k Unbal</c:v>
                </c:pt>
                <c:pt idx="2">
                  <c:v>Bal Car-related</c:v>
                </c:pt>
                <c:pt idx="3">
                  <c:v>Unbal Car-related</c:v>
                </c:pt>
              </c:strCache>
            </c:strRef>
          </c:cat>
          <c:val>
            <c:numRef>
              <c:f>'car_related and usual'!$B$3:$E$3</c:f>
              <c:numCache>
                <c:formatCode>General</c:formatCode>
                <c:ptCount val="4"/>
                <c:pt idx="0">
                  <c:v>500</c:v>
                </c:pt>
                <c:pt idx="1">
                  <c:v>200</c:v>
                </c:pt>
                <c:pt idx="2">
                  <c:v>156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4-4F7F-B0FC-335C3164A8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26420120"/>
        <c:axId val="526414544"/>
      </c:barChart>
      <c:catAx>
        <c:axId val="52642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26414544"/>
        <c:crosses val="autoZero"/>
        <c:auto val="1"/>
        <c:lblAlgn val="ctr"/>
        <c:lblOffset val="100"/>
        <c:noMultiLvlLbl val="0"/>
      </c:catAx>
      <c:valAx>
        <c:axId val="5264145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5264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'car_related and usual'!$B$26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usual'!$B$28:$B$32</c:f>
              <c:numCache>
                <c:formatCode>0.0%</c:formatCode>
                <c:ptCount val="5"/>
                <c:pt idx="0">
                  <c:v>0.48076923076923078</c:v>
                </c:pt>
                <c:pt idx="1">
                  <c:v>0.50641025641025639</c:v>
                </c:pt>
                <c:pt idx="2">
                  <c:v>0.52564102564102566</c:v>
                </c:pt>
                <c:pt idx="3">
                  <c:v>0.51923076923076927</c:v>
                </c:pt>
                <c:pt idx="4">
                  <c:v>0.42307692307692307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A-42AA-9A32-5D36B9B006AF}"/>
            </c:ext>
          </c:extLst>
        </c:ser>
        <c:ser>
          <c:idx val="1"/>
          <c:order val="1"/>
          <c:tx>
            <c:strRef>
              <c:f>'car_related and usual'!$D$26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602211549282503E-2"/>
                  <c:y val="3.243026370169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7A-42AA-9A32-5D36B9B006AF}"/>
                </c:ext>
              </c:extLst>
            </c:dLbl>
            <c:dLbl>
              <c:idx val="1"/>
              <c:layout>
                <c:manualLayout>
                  <c:x val="-5.5186721991701285E-2"/>
                  <c:y val="3.583857999345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7A-42AA-9A32-5D36B9B00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usual'!$D$28:$D$32</c:f>
              <c:numCache>
                <c:formatCode>0.0%</c:formatCode>
                <c:ptCount val="5"/>
                <c:pt idx="0">
                  <c:v>0.74591194968553454</c:v>
                </c:pt>
                <c:pt idx="1">
                  <c:v>0.76226415094339628</c:v>
                </c:pt>
                <c:pt idx="2">
                  <c:v>0.76226415094339628</c:v>
                </c:pt>
                <c:pt idx="3">
                  <c:v>0.74716981132075466</c:v>
                </c:pt>
                <c:pt idx="4">
                  <c:v>0.64654088050314462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A-42AA-9A32-5D36B9B006AF}"/>
            </c:ext>
          </c:extLst>
        </c:ser>
        <c:ser>
          <c:idx val="2"/>
          <c:order val="2"/>
          <c:tx>
            <c:strRef>
              <c:f>'car_related and usual'!$F$26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usual'!$F$28:$F$32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A-42AA-9A32-5D36B9B006AF}"/>
            </c:ext>
          </c:extLst>
        </c:ser>
        <c:ser>
          <c:idx val="3"/>
          <c:order val="3"/>
          <c:tx>
            <c:strRef>
              <c:f>'car_related and usual'!$I$26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58238674522531E-2"/>
                  <c:y val="-3.9246627913842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7A-42AA-9A32-5D36B9B006AF}"/>
                </c:ext>
              </c:extLst>
            </c:dLbl>
            <c:dLbl>
              <c:idx val="1"/>
              <c:layout>
                <c:manualLayout>
                  <c:x val="-4.4150575576393201E-2"/>
                  <c:y val="-4.2654944205593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7A-42AA-9A32-5D36B9B00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usual'!$H$28:$H$32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A-42AA-9A32-5D36B9B006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r>
              <a:rPr lang="en-US"/>
              <a:t>Top-5</a:t>
            </a:r>
            <a:r>
              <a:rPr lang="en-US" baseline="0"/>
              <a:t> With Premodel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'car_related and usual'!$C$26</c:f>
              <c:strCache>
                <c:ptCount val="1"/>
                <c:pt idx="0">
                  <c:v>Bal Car-related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usual'!$C$28:$C$32</c:f>
              <c:numCache>
                <c:formatCode>0.0%</c:formatCode>
                <c:ptCount val="5"/>
                <c:pt idx="0">
                  <c:v>0.79807692307692313</c:v>
                </c:pt>
                <c:pt idx="1">
                  <c:v>0.79487179487179482</c:v>
                </c:pt>
                <c:pt idx="2">
                  <c:v>0.80769230769230771</c:v>
                </c:pt>
                <c:pt idx="3">
                  <c:v>0.78205128205128205</c:v>
                </c:pt>
                <c:pt idx="4">
                  <c:v>0.71794871794871795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A-4B71-A45D-86AD4FED6C02}"/>
            </c:ext>
          </c:extLst>
        </c:ser>
        <c:ser>
          <c:idx val="1"/>
          <c:order val="1"/>
          <c:tx>
            <c:strRef>
              <c:f>'car_related and usual'!$D$26</c:f>
              <c:strCache>
                <c:ptCount val="1"/>
                <c:pt idx="0">
                  <c:v>Unbal Car-related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usual'!$E$28:$E$32</c:f>
              <c:numCache>
                <c:formatCode>0.0%</c:formatCode>
                <c:ptCount val="5"/>
                <c:pt idx="0">
                  <c:v>0.91698113207547172</c:v>
                </c:pt>
                <c:pt idx="1">
                  <c:v>0.91572327044025159</c:v>
                </c:pt>
                <c:pt idx="2">
                  <c:v>0.92075471698113209</c:v>
                </c:pt>
                <c:pt idx="3">
                  <c:v>0.90817610062893084</c:v>
                </c:pt>
                <c:pt idx="4">
                  <c:v>0.84402515723270444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A-4B71-A45D-86AD4FED6C02}"/>
            </c:ext>
          </c:extLst>
        </c:ser>
        <c:ser>
          <c:idx val="2"/>
          <c:order val="2"/>
          <c:tx>
            <c:strRef>
              <c:f>'car_related and usual'!$F$26</c:f>
              <c:strCache>
                <c:ptCount val="1"/>
                <c:pt idx="0">
                  <c:v>1k Balanced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usual'!$G$28:$G$32</c:f>
              <c:numCache>
                <c:formatCode>0.0%</c:formatCode>
                <c:ptCount val="5"/>
                <c:pt idx="0">
                  <c:v>0.79900000000000004</c:v>
                </c:pt>
                <c:pt idx="1">
                  <c:v>0.78900000000000003</c:v>
                </c:pt>
                <c:pt idx="2">
                  <c:v>0.77800000000000002</c:v>
                </c:pt>
                <c:pt idx="3">
                  <c:v>0.749</c:v>
                </c:pt>
                <c:pt idx="4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A-4B71-A45D-86AD4FED6C02}"/>
            </c:ext>
          </c:extLst>
        </c:ser>
        <c:ser>
          <c:idx val="3"/>
          <c:order val="3"/>
          <c:tx>
            <c:strRef>
              <c:f>'car_related and usual'!$I$26</c:f>
              <c:strCache>
                <c:ptCount val="1"/>
                <c:pt idx="0">
                  <c:v>1k Unbalanced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itchFamily="2" charset="-52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'car_related and usual'!$A$28:$A$32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'car_related and usual'!$I$28:$I$32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A-4B71-A45D-86AD4FED6C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46104"/>
        <c:axId val="608248400"/>
      </c:lineChart>
      <c:catAx>
        <c:axId val="60824610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8400"/>
        <c:crosses val="autoZero"/>
        <c:auto val="1"/>
        <c:lblAlgn val="ctr"/>
        <c:lblOffset val="100"/>
        <c:noMultiLvlLbl val="0"/>
      </c:catAx>
      <c:valAx>
        <c:axId val="6082484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-52"/>
                <a:ea typeface="+mn-ea"/>
                <a:cs typeface="+mn-cs"/>
              </a:defRPr>
            </a:pPr>
            <a:endParaRPr lang="ru-RU"/>
          </a:p>
        </c:txPr>
        <c:crossAx val="6082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latin typeface="Montserrat" pitchFamily="2" charset="-52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</a:t>
            </a:r>
            <a:r>
              <a:rPr lang="en-US" baseline="0"/>
              <a:t> Accuacy 1k Unbalanced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'Top-1'!$F$4</c:f>
              <c:strCache>
                <c:ptCount val="1"/>
                <c:pt idx="0">
                  <c:v>MobileNet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'Top-1'!$F$5:$F$9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8-4DDA-B6D1-584BF2C6CBB3}"/>
            </c:ext>
          </c:extLst>
        </c:ser>
        <c:ser>
          <c:idx val="1"/>
          <c:order val="1"/>
          <c:tx>
            <c:strRef>
              <c:f>'Top-1'!$E$4</c:f>
              <c:strCache>
                <c:ptCount val="1"/>
                <c:pt idx="0">
                  <c:v>Inception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'Top-1'!$E$5:$E$9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8-4DDA-B6D1-584BF2C6CBB3}"/>
            </c:ext>
          </c:extLst>
        </c:ser>
        <c:ser>
          <c:idx val="2"/>
          <c:order val="2"/>
          <c:tx>
            <c:strRef>
              <c:f>'Top-1'!$G$4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'Top-1'!$G$5:$G$9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8-4DDA-B6D1-584BF2C6CB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94800"/>
        <c:axId val="37192304"/>
      </c:lineChart>
      <c:catAx>
        <c:axId val="371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Level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2304"/>
        <c:crosses val="autoZero"/>
        <c:auto val="1"/>
        <c:lblAlgn val="ctr"/>
        <c:lblOffset val="100"/>
        <c:noMultiLvlLbl val="0"/>
      </c:catAx>
      <c:valAx>
        <c:axId val="3719230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Top-1</a:t>
            </a:r>
            <a:r>
              <a:rPr lang="en-US" baseline="0"/>
              <a:t> Accuracy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'Top-1'!$C$26</c:f>
              <c:strCache>
                <c:ptCount val="1"/>
                <c:pt idx="0">
                  <c:v>MobileNet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'Top-1'!$D$25:$H$25</c:f>
              <c:strCache>
                <c:ptCount val="5"/>
                <c:pt idx="0">
                  <c:v>2-59 (Category 1)</c:v>
                </c:pt>
                <c:pt idx="1">
                  <c:v>95-100 (Category 6)</c:v>
                </c:pt>
                <c:pt idx="2">
                  <c:v>115-119 (Category 11)</c:v>
                </c:pt>
                <c:pt idx="3">
                  <c:v>130-135 (Category 15)</c:v>
                </c:pt>
                <c:pt idx="4">
                  <c:v>174-245 (Category 20)</c:v>
                </c:pt>
              </c:strCache>
            </c:strRef>
          </c:cat>
          <c:val>
            <c:numRef>
              <c:f>'Top-1'!$D$26:$H$26</c:f>
              <c:numCache>
                <c:formatCode>0.00%</c:formatCode>
                <c:ptCount val="5"/>
                <c:pt idx="0">
                  <c:v>0.66839999999999999</c:v>
                </c:pt>
                <c:pt idx="1">
                  <c:v>0.68640000000000001</c:v>
                </c:pt>
                <c:pt idx="2">
                  <c:v>0.68159999999999998</c:v>
                </c:pt>
                <c:pt idx="3">
                  <c:v>0.69799999999999995</c:v>
                </c:pt>
                <c:pt idx="4">
                  <c:v>0.69840000000000002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B-49BE-89BC-BB18B56D7F37}"/>
            </c:ext>
          </c:extLst>
        </c:ser>
        <c:ser>
          <c:idx val="2"/>
          <c:order val="1"/>
          <c:tx>
            <c:strRef>
              <c:f>'Top-1'!$C$27</c:f>
              <c:strCache>
                <c:ptCount val="1"/>
                <c:pt idx="0">
                  <c:v>Inception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'Top-1'!$D$25:$H$25</c:f>
              <c:strCache>
                <c:ptCount val="5"/>
                <c:pt idx="0">
                  <c:v>2-59 (Category 1)</c:v>
                </c:pt>
                <c:pt idx="1">
                  <c:v>95-100 (Category 6)</c:v>
                </c:pt>
                <c:pt idx="2">
                  <c:v>115-119 (Category 11)</c:v>
                </c:pt>
                <c:pt idx="3">
                  <c:v>130-135 (Category 15)</c:v>
                </c:pt>
                <c:pt idx="4">
                  <c:v>174-245 (Category 20)</c:v>
                </c:pt>
              </c:strCache>
            </c:strRef>
          </c:cat>
          <c:val>
            <c:numRef>
              <c:f>'Top-1'!$D$27:$H$27</c:f>
              <c:numCache>
                <c:formatCode>0.00%</c:formatCode>
                <c:ptCount val="5"/>
                <c:pt idx="0">
                  <c:v>0.74639999999999995</c:v>
                </c:pt>
                <c:pt idx="1">
                  <c:v>0.7712</c:v>
                </c:pt>
                <c:pt idx="2">
                  <c:v>0.75719999999999998</c:v>
                </c:pt>
                <c:pt idx="3">
                  <c:v>0.77559999999999996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B-49BE-89BC-BB18B56D7F37}"/>
            </c:ext>
          </c:extLst>
        </c:ser>
        <c:ser>
          <c:idx val="3"/>
          <c:order val="2"/>
          <c:tx>
            <c:strRef>
              <c:f>'Top-1'!$C$28</c:f>
              <c:strCache>
                <c:ptCount val="1"/>
                <c:pt idx="0">
                  <c:v>ResNet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'Top-1'!$D$25:$H$25</c:f>
              <c:strCache>
                <c:ptCount val="5"/>
                <c:pt idx="0">
                  <c:v>2-59 (Category 1)</c:v>
                </c:pt>
                <c:pt idx="1">
                  <c:v>95-100 (Category 6)</c:v>
                </c:pt>
                <c:pt idx="2">
                  <c:v>115-119 (Category 11)</c:v>
                </c:pt>
                <c:pt idx="3">
                  <c:v>130-135 (Category 15)</c:v>
                </c:pt>
                <c:pt idx="4">
                  <c:v>174-245 (Category 20)</c:v>
                </c:pt>
              </c:strCache>
            </c:strRef>
          </c:cat>
          <c:val>
            <c:numRef>
              <c:f>'Top-1'!$D$28:$H$28</c:f>
              <c:numCache>
                <c:formatCode>0.00%</c:formatCode>
                <c:ptCount val="5"/>
                <c:pt idx="0">
                  <c:v>0.69240000000000002</c:v>
                </c:pt>
                <c:pt idx="1">
                  <c:v>0.71440000000000003</c:v>
                </c:pt>
                <c:pt idx="2">
                  <c:v>0.71919999999999995</c:v>
                </c:pt>
                <c:pt idx="3">
                  <c:v>0.73880000000000001</c:v>
                </c:pt>
                <c:pt idx="4">
                  <c:v>0.71319999999999995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B-49BE-89BC-BB18B56D7F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9216256"/>
        <c:axId val="1509211264"/>
      </c:lineChart>
      <c:catAx>
        <c:axId val="15092162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Brightness Value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211264"/>
        <c:crosses val="autoZero"/>
        <c:auto val="1"/>
        <c:lblAlgn val="ctr"/>
        <c:lblOffset val="100"/>
        <c:noMultiLvlLbl val="0"/>
      </c:catAx>
      <c:valAx>
        <c:axId val="1509211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CNN</a:t>
                </a:r>
                <a:r>
                  <a:rPr lang="en-US" baseline="0"/>
                  <a:t> Accuracy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'Top-1'!$E$4</c:f>
              <c:strCache>
                <c:ptCount val="1"/>
                <c:pt idx="0">
                  <c:v>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'Top-1'!$E$5:$E$9</c:f>
              <c:numCache>
                <c:formatCode>0.00%</c:formatCode>
                <c:ptCount val="5"/>
                <c:pt idx="0">
                  <c:v>0.754</c:v>
                </c:pt>
                <c:pt idx="1">
                  <c:v>0.745</c:v>
                </c:pt>
                <c:pt idx="2">
                  <c:v>0.747</c:v>
                </c:pt>
                <c:pt idx="3">
                  <c:v>0.72499999999999998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C-483E-902B-EF30458CE88C}"/>
            </c:ext>
          </c:extLst>
        </c:ser>
        <c:ser>
          <c:idx val="0"/>
          <c:order val="1"/>
          <c:tx>
            <c:strRef>
              <c:f>'Top-1'!$F$4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'Top-1'!$F$5:$F$9</c:f>
              <c:numCache>
                <c:formatCode>0.00%</c:formatCode>
                <c:ptCount val="5"/>
                <c:pt idx="0">
                  <c:v>0.71599999999999997</c:v>
                </c:pt>
                <c:pt idx="1">
                  <c:v>0.71599999999999997</c:v>
                </c:pt>
                <c:pt idx="2">
                  <c:v>0.71</c:v>
                </c:pt>
                <c:pt idx="3">
                  <c:v>0.66400000000000003</c:v>
                </c:pt>
                <c:pt idx="4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C-483E-902B-EF30458CE88C}"/>
            </c:ext>
          </c:extLst>
        </c:ser>
        <c:ser>
          <c:idx val="2"/>
          <c:order val="2"/>
          <c:tx>
            <c:strRef>
              <c:f>'Top-1'!$G$4</c:f>
              <c:strCache>
                <c:ptCount val="1"/>
                <c:pt idx="0">
                  <c:v>ResNet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'Top-1'!$D$5:$D$9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'Top-1'!$G$5:$G$9</c:f>
              <c:numCache>
                <c:formatCode>0.00%</c:formatCode>
                <c:ptCount val="5"/>
                <c:pt idx="0">
                  <c:v>0.71499999999999997</c:v>
                </c:pt>
                <c:pt idx="1">
                  <c:v>0.70799999999999996</c:v>
                </c:pt>
                <c:pt idx="2">
                  <c:v>0.67900000000000005</c:v>
                </c:pt>
                <c:pt idx="3">
                  <c:v>0.59799999999999998</c:v>
                </c:pt>
                <c:pt idx="4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C-483E-902B-EF30458CE8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149248"/>
        <c:axId val="653326256"/>
      </c:barChart>
      <c:catAx>
        <c:axId val="66014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Brightness Level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326256"/>
        <c:crosses val="autoZero"/>
        <c:auto val="1"/>
        <c:lblAlgn val="ctr"/>
        <c:lblOffset val="100"/>
        <c:noMultiLvlLbl val="0"/>
      </c:catAx>
      <c:valAx>
        <c:axId val="653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CNN Accuracy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1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'Balance&amp;Type Comparison'!$L$2:$L$3</c:f>
              <c:strCache>
                <c:ptCount val="2"/>
                <c:pt idx="0">
                  <c:v>1k Unbal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F-48A1-A9AB-4A749107FB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Comparison'!$L$4:$L$8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F-48A1-A9AB-4A749107FB63}"/>
            </c:ext>
          </c:extLst>
        </c:ser>
        <c:ser>
          <c:idx val="1"/>
          <c:order val="1"/>
          <c:tx>
            <c:strRef>
              <c:f>'Balance&amp;Type Comparison'!$M$2:$M$3</c:f>
              <c:strCache>
                <c:ptCount val="2"/>
                <c:pt idx="0">
                  <c:v>Car-Related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Comparison'!$M$4:$M$8</c:f>
              <c:numCache>
                <c:formatCode>0.0%</c:formatCode>
                <c:ptCount val="5"/>
                <c:pt idx="0">
                  <c:v>0.6873999999999999</c:v>
                </c:pt>
                <c:pt idx="1">
                  <c:v>0.68420000000000003</c:v>
                </c:pt>
                <c:pt idx="2">
                  <c:v>0.66949999999999998</c:v>
                </c:pt>
                <c:pt idx="3">
                  <c:v>0.66739999999999999</c:v>
                </c:pt>
                <c:pt idx="4">
                  <c:v>0.65790000000000004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F-48A1-A9AB-4A749107FB63}"/>
            </c:ext>
          </c:extLst>
        </c:ser>
        <c:ser>
          <c:idx val="2"/>
          <c:order val="2"/>
          <c:tx>
            <c:strRef>
              <c:f>'Balance&amp;Type Comparison'!$T$2:$T$3</c:f>
              <c:strCache>
                <c:ptCount val="2"/>
                <c:pt idx="0">
                  <c:v>1k Unbal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Comparison'!$T$4:$T$8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F-48A1-A9AB-4A749107FB63}"/>
            </c:ext>
          </c:extLst>
        </c:ser>
        <c:ser>
          <c:idx val="3"/>
          <c:order val="3"/>
          <c:tx>
            <c:strRef>
              <c:f>'Balance&amp;Type Comparison'!$U$2:$U$3</c:f>
              <c:strCache>
                <c:ptCount val="2"/>
                <c:pt idx="0">
                  <c:v>Car-Related</c:v>
                </c:pt>
                <c:pt idx="1">
                  <c:v>Top-5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'Balance&amp;Type Comparison'!$J$4:$J$8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'Balance&amp;Type Comparison'!$U$4:$U$8</c:f>
              <c:numCache>
                <c:formatCode>0.0%</c:formatCode>
                <c:ptCount val="5"/>
                <c:pt idx="0">
                  <c:v>0.91159999999999997</c:v>
                </c:pt>
                <c:pt idx="1">
                  <c:v>0.9042</c:v>
                </c:pt>
                <c:pt idx="2">
                  <c:v>0.90110000000000001</c:v>
                </c:pt>
                <c:pt idx="3">
                  <c:v>0.9</c:v>
                </c:pt>
                <c:pt idx="4">
                  <c:v>0.85790000000000011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F-48A1-A9AB-4A749107F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43535392"/>
        <c:axId val="643538672"/>
      </c:barChart>
      <c:catAx>
        <c:axId val="6435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</a:t>
                </a:r>
                <a:r>
                  <a:rPr lang="en-US" sz="1050" b="1" baseline="0"/>
                  <a:t>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538672"/>
        <c:crosses val="autoZero"/>
        <c:auto val="1"/>
        <c:lblAlgn val="ctr"/>
        <c:lblOffset val="100"/>
        <c:noMultiLvlLbl val="0"/>
      </c:catAx>
      <c:valAx>
        <c:axId val="6435386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 Accuracy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5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Unbalanced Datasets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Size_comp!$I$1:$I$2</c:f>
              <c:strCache>
                <c:ptCount val="2"/>
                <c:pt idx="0">
                  <c:v>1k 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Size_comp!$H$3:$H$7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Size_comp!$I$3:$I$7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C-4E5F-9622-A0B2E8F493BC}"/>
            </c:ext>
          </c:extLst>
        </c:ser>
        <c:ser>
          <c:idx val="1"/>
          <c:order val="1"/>
          <c:tx>
            <c:strRef>
              <c:f>Size_comp!$J$1:$J$2</c:f>
              <c:strCache>
                <c:ptCount val="2"/>
                <c:pt idx="0">
                  <c:v>13k</c:v>
                </c:pt>
                <c:pt idx="1">
                  <c:v>Top-1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Size_comp!$H$3:$H$7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Size_comp!$J$3:$J$7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C-4E5F-9622-A0B2E8F49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142384"/>
        <c:axId val="6211364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Size_comp!$K$1:$K$2</c15:sqref>
                        </c15:formulaRef>
                      </c:ext>
                    </c:extLst>
                    <c:strCache>
                      <c:ptCount val="2"/>
                      <c:pt idx="0">
                        <c:v>1k 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Size_comp!$H$3:$H$7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Size_comp!$K$3:$K$7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0.91200000000000003</c:v>
                      </c:pt>
                      <c:pt idx="1">
                        <c:v>0.90800000000000003</c:v>
                      </c:pt>
                      <c:pt idx="2">
                        <c:v>0.90700000000000003</c:v>
                      </c:pt>
                      <c:pt idx="3">
                        <c:v>0.88</c:v>
                      </c:pt>
                      <c:pt idx="4">
                        <c:v>0.81399999999999995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AC-4E5F-9622-A0B2E8F493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Size_comp!$L$1:$L$2</c15:sqref>
                        </c15:formulaRef>
                      </c:ext>
                    </c:extLst>
                    <c:strCache>
                      <c:ptCount val="2"/>
                      <c:pt idx="0">
                        <c:v>13k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Size_comp!$H$3:$H$7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Size_comp!$L$3:$L$7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0.92500000000000004</c:v>
                      </c:pt>
                      <c:pt idx="1">
                        <c:v>0.91</c:v>
                      </c:pt>
                      <c:pt idx="2">
                        <c:v>0.90700000000000003</c:v>
                      </c:pt>
                      <c:pt idx="3">
                        <c:v>0.88100000000000001</c:v>
                      </c:pt>
                      <c:pt idx="4">
                        <c:v>0.82499999999999996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AC-4E5F-9622-A0B2E8F493BC}"/>
                  </c:ext>
                </c:extLst>
              </c15:ser>
            </c15:filteredBarSeries>
          </c:ext>
        </c:extLst>
      </c:barChart>
      <c:catAx>
        <c:axId val="6211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Brightness Level</a:t>
                </a: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36480"/>
        <c:crosses val="autoZero"/>
        <c:auto val="1"/>
        <c:lblAlgn val="ctr"/>
        <c:lblOffset val="100"/>
        <c:noMultiLvlLbl val="0"/>
      </c:catAx>
      <c:valAx>
        <c:axId val="6211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Classification</a:t>
                </a:r>
                <a:endParaRPr lang="ru-RU" sz="1050" b="1"/>
              </a:p>
            </c:rich>
          </c:tx>
          <c:layout>
            <c:manualLayout>
              <c:xMode val="edge"/>
              <c:yMode val="edge"/>
              <c:x val="1.5226587301587302E-2"/>
              <c:y val="1.631597222222222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Datasets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Size_comp!$B$1:$B$2</c:f>
              <c:strCache>
                <c:ptCount val="2"/>
                <c:pt idx="0">
                  <c:v>1k</c:v>
                </c:pt>
                <c:pt idx="1">
                  <c:v>Top-1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Size_comp!$B$3:$B$7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0-4571-8418-C1FE0F6982D4}"/>
            </c:ext>
          </c:extLst>
        </c:ser>
        <c:ser>
          <c:idx val="1"/>
          <c:order val="1"/>
          <c:tx>
            <c:strRef>
              <c:f>Size_comp!$C$1:$C$2</c:f>
              <c:strCache>
                <c:ptCount val="2"/>
                <c:pt idx="0">
                  <c:v>13k</c:v>
                </c:pt>
                <c:pt idx="1">
                  <c:v>Top-1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Size_comp!$A$3:$A$7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Size_comp!$C$3:$C$7</c:f>
              <c:numCache>
                <c:formatCode>0.0%</c:formatCode>
                <c:ptCount val="5"/>
                <c:pt idx="0">
                  <c:v>0.53100000000000003</c:v>
                </c:pt>
                <c:pt idx="1">
                  <c:v>0.49092307692307691</c:v>
                </c:pt>
                <c:pt idx="2">
                  <c:v>0.48523076923076919</c:v>
                </c:pt>
                <c:pt idx="3">
                  <c:v>0.4703846153846154</c:v>
                </c:pt>
                <c:pt idx="4">
                  <c:v>0.41215384615384615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0-4571-8418-C1FE0F698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887976"/>
        <c:axId val="618886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Size_comp!$D$1:$D$2</c15:sqref>
                        </c15:formulaRef>
                      </c:ext>
                    </c:extLst>
                    <c:strCache>
                      <c:ptCount val="2"/>
                      <c:pt idx="0">
                        <c:v>1k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5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Size_comp!$A$3:$A$7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Size_comp!$D$3:$D$7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0.79900000000000004</c:v>
                      </c:pt>
                      <c:pt idx="1">
                        <c:v>0.78900000000000003</c:v>
                      </c:pt>
                      <c:pt idx="2">
                        <c:v>0.77800000000000002</c:v>
                      </c:pt>
                      <c:pt idx="3">
                        <c:v>0.749</c:v>
                      </c:pt>
                      <c:pt idx="4">
                        <c:v>0.66800000000000004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440-4571-8418-C1FE0F6982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Size_comp!$E$1:$E$2</c15:sqref>
                        </c15:formulaRef>
                      </c:ext>
                    </c:extLst>
                    <c:strCache>
                      <c:ptCount val="2"/>
                      <c:pt idx="0">
                        <c:v>13k</c:v>
                      </c:pt>
                      <c:pt idx="1">
                        <c:v>Top-5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Size_comp!$A$3:$A$7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0.5</c:v>
                      </c:pt>
                      <c:pt idx="3">
                        <c:v>0.25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Size_comp!$E$3:$E$7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0.82369230769230772</c:v>
                      </c:pt>
                      <c:pt idx="1">
                        <c:v>0.78453846153846163</c:v>
                      </c:pt>
                      <c:pt idx="2">
                        <c:v>0.7786153846153846</c:v>
                      </c:pt>
                      <c:pt idx="3">
                        <c:v>0.75715384615384618</c:v>
                      </c:pt>
                      <c:pt idx="4">
                        <c:v>0.67376923076923079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40-4571-8418-C1FE0F6982D4}"/>
                  </c:ext>
                </c:extLst>
              </c15:ser>
            </c15:filteredBarSeries>
          </c:ext>
        </c:extLst>
      </c:barChart>
      <c:catAx>
        <c:axId val="6188879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18886336"/>
        <c:crosses val="autoZero"/>
        <c:auto val="1"/>
        <c:lblAlgn val="ctr"/>
        <c:lblOffset val="100"/>
        <c:noMultiLvlLbl val="0"/>
      </c:catAx>
      <c:valAx>
        <c:axId val="61888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baseline="0"/>
                  <a:t> Accuracy</a:t>
                </a:r>
                <a:endParaRPr lang="ru-RU" sz="1050" b="1"/>
              </a:p>
            </c:rich>
          </c:tx>
          <c:layout>
            <c:manualLayout>
              <c:xMode val="edge"/>
              <c:yMode val="edge"/>
              <c:x val="1.2815674603174605E-2"/>
              <c:y val="0.76086706349206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888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Top-1 Accuracy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Size_comp!$B$14:$B$15</c:f>
              <c:strCache>
                <c:ptCount val="2"/>
                <c:pt idx="0">
                  <c:v>1k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6167261904761907E-2"/>
                  <c:y val="2.6321296296296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22-4BEA-8B88-4A24A6834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Size_comp!$B$16:$B$20</c:f>
              <c:numCache>
                <c:formatCode>0.0%</c:formatCode>
                <c:ptCount val="5"/>
                <c:pt idx="0">
                  <c:v>0.48099999999999998</c:v>
                </c:pt>
                <c:pt idx="1">
                  <c:v>0.47399999999999998</c:v>
                </c:pt>
                <c:pt idx="2">
                  <c:v>0.47199999999999998</c:v>
                </c:pt>
                <c:pt idx="3">
                  <c:v>0.46100000000000002</c:v>
                </c:pt>
                <c:pt idx="4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2-4BEA-8B88-4A24A68347A2}"/>
            </c:ext>
          </c:extLst>
        </c:ser>
        <c:ser>
          <c:idx val="1"/>
          <c:order val="1"/>
          <c:tx>
            <c:strRef>
              <c:f>Size_comp!$C$14:$C$15</c:f>
              <c:strCache>
                <c:ptCount val="2"/>
                <c:pt idx="0">
                  <c:v>13k</c:v>
                </c:pt>
                <c:pt idx="1">
                  <c:v>Bal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Size_comp!$C$16:$C$20</c:f>
              <c:numCache>
                <c:formatCode>0.0%</c:formatCode>
                <c:ptCount val="5"/>
                <c:pt idx="0">
                  <c:v>0.53100000000000003</c:v>
                </c:pt>
                <c:pt idx="1">
                  <c:v>0.49092307692307691</c:v>
                </c:pt>
                <c:pt idx="2">
                  <c:v>0.48523076923076919</c:v>
                </c:pt>
                <c:pt idx="3">
                  <c:v>0.4703846153846154</c:v>
                </c:pt>
                <c:pt idx="4">
                  <c:v>0.41215384615384615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2-4BEA-8B88-4A24A68347A2}"/>
            </c:ext>
          </c:extLst>
        </c:ser>
        <c:ser>
          <c:idx val="2"/>
          <c:order val="2"/>
          <c:tx>
            <c:strRef>
              <c:f>Size_comp!$D$14:$D$15</c:f>
              <c:strCache>
                <c:ptCount val="2"/>
                <c:pt idx="0">
                  <c:v>1k 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6167261904761907E-2"/>
                  <c:y val="4.20003086419753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22-4BEA-8B88-4A24A68347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Size_comp!$D$16:$D$20</c:f>
              <c:numCache>
                <c:formatCode>0.0%</c:formatCode>
                <c:ptCount val="5"/>
                <c:pt idx="0">
                  <c:v>0.77600000000000002</c:v>
                </c:pt>
                <c:pt idx="1">
                  <c:v>0.76600000000000001</c:v>
                </c:pt>
                <c:pt idx="2">
                  <c:v>0.74199999999999999</c:v>
                </c:pt>
                <c:pt idx="3">
                  <c:v>0.69899999999999995</c:v>
                </c:pt>
                <c:pt idx="4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2-4BEA-8B88-4A24A68347A2}"/>
            </c:ext>
          </c:extLst>
        </c:ser>
        <c:ser>
          <c:idx val="3"/>
          <c:order val="3"/>
          <c:tx>
            <c:strRef>
              <c:f>Size_comp!$E$14:$E$15</c:f>
              <c:strCache>
                <c:ptCount val="2"/>
                <c:pt idx="0">
                  <c:v>13k</c:v>
                </c:pt>
                <c:pt idx="1">
                  <c:v>Unbal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Size_comp!$A$16:$A$20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Size_comp!$E$16:$E$20</c:f>
              <c:numCache>
                <c:formatCode>0.0%</c:formatCode>
                <c:ptCount val="5"/>
                <c:pt idx="0">
                  <c:v>0.80800000000000005</c:v>
                </c:pt>
                <c:pt idx="1">
                  <c:v>0.77700000000000002</c:v>
                </c:pt>
                <c:pt idx="2">
                  <c:v>0.76300000000000001</c:v>
                </c:pt>
                <c:pt idx="3">
                  <c:v>0.72599999999999998</c:v>
                </c:pt>
                <c:pt idx="4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2-4BEA-8B88-4A24A68347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280072"/>
        <c:axId val="550275152"/>
      </c:lineChart>
      <c:catAx>
        <c:axId val="55028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Brightness</a:t>
                </a:r>
                <a:r>
                  <a:rPr lang="en-US" sz="1200" b="1" baseline="0"/>
                  <a:t> Level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75152"/>
        <c:crosses val="autoZero"/>
        <c:auto val="1"/>
        <c:lblAlgn val="ctr"/>
        <c:lblOffset val="100"/>
        <c:noMultiLvlLbl val="0"/>
      </c:catAx>
      <c:valAx>
        <c:axId val="550275152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Classification</a:t>
                </a:r>
                <a:r>
                  <a:rPr lang="en-US" sz="1200" b="1" baseline="0"/>
                  <a:t> Accuracy</a:t>
                </a:r>
                <a:endParaRPr lang="ru-RU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28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Top-5 Accuracy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Size_comp!$R$14:$R$15</c:f>
              <c:strCache>
                <c:ptCount val="2"/>
                <c:pt idx="0">
                  <c:v>1k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Size_comp!$R$16:$R$20</c:f>
              <c:numCache>
                <c:formatCode>0.0%</c:formatCode>
                <c:ptCount val="5"/>
                <c:pt idx="0">
                  <c:v>0.79900000000000004</c:v>
                </c:pt>
                <c:pt idx="1">
                  <c:v>0.78900000000000003</c:v>
                </c:pt>
                <c:pt idx="2">
                  <c:v>0.77800000000000002</c:v>
                </c:pt>
                <c:pt idx="3">
                  <c:v>0.749</c:v>
                </c:pt>
                <c:pt idx="4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0-4FA0-9B87-AA1145C59900}"/>
            </c:ext>
          </c:extLst>
        </c:ser>
        <c:ser>
          <c:idx val="1"/>
          <c:order val="1"/>
          <c:tx>
            <c:strRef>
              <c:f>Size_comp!$S$14:$S$15</c:f>
              <c:strCache>
                <c:ptCount val="2"/>
                <c:pt idx="0">
                  <c:v>13k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Size_comp!$S$16:$S$20</c:f>
              <c:numCache>
                <c:formatCode>0.0%</c:formatCode>
                <c:ptCount val="5"/>
                <c:pt idx="0">
                  <c:v>0.82369230769230772</c:v>
                </c:pt>
                <c:pt idx="1">
                  <c:v>0.78453846153846163</c:v>
                </c:pt>
                <c:pt idx="2">
                  <c:v>0.7786153846153846</c:v>
                </c:pt>
                <c:pt idx="3">
                  <c:v>0.75715384615384618</c:v>
                </c:pt>
                <c:pt idx="4">
                  <c:v>0.67376923076923079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0-4FA0-9B87-AA1145C59900}"/>
            </c:ext>
          </c:extLst>
        </c:ser>
        <c:ser>
          <c:idx val="2"/>
          <c:order val="2"/>
          <c:tx>
            <c:strRef>
              <c:f>Size_comp!$T$14:$T$15</c:f>
              <c:strCache>
                <c:ptCount val="2"/>
                <c:pt idx="0">
                  <c:v>1k 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Size_comp!$T$16:$T$20</c:f>
              <c:numCache>
                <c:formatCode>0.0%</c:formatCode>
                <c:ptCount val="5"/>
                <c:pt idx="0">
                  <c:v>0.91200000000000003</c:v>
                </c:pt>
                <c:pt idx="1">
                  <c:v>0.90800000000000003</c:v>
                </c:pt>
                <c:pt idx="2">
                  <c:v>0.90700000000000003</c:v>
                </c:pt>
                <c:pt idx="3">
                  <c:v>0.88</c:v>
                </c:pt>
                <c:pt idx="4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0-4FA0-9B87-AA1145C59900}"/>
            </c:ext>
          </c:extLst>
        </c:ser>
        <c:ser>
          <c:idx val="3"/>
          <c:order val="3"/>
          <c:tx>
            <c:strRef>
              <c:f>Size_comp!$U$14:$U$15</c:f>
              <c:strCache>
                <c:ptCount val="2"/>
                <c:pt idx="0">
                  <c:v>13k</c:v>
                </c:pt>
                <c:pt idx="1">
                  <c:v>Top-5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Size_comp!$Q$16:$Q$20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</c:numCache>
            </c:numRef>
          </c:cat>
          <c:val>
            <c:numRef>
              <c:f>Size_comp!$U$16:$U$20</c:f>
              <c:numCache>
                <c:formatCode>0.0%</c:formatCode>
                <c:ptCount val="5"/>
                <c:pt idx="0">
                  <c:v>0.92500000000000004</c:v>
                </c:pt>
                <c:pt idx="1">
                  <c:v>0.91</c:v>
                </c:pt>
                <c:pt idx="2">
                  <c:v>0.90700000000000003</c:v>
                </c:pt>
                <c:pt idx="3">
                  <c:v>0.88100000000000001</c:v>
                </c:pt>
                <c:pt idx="4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0-4FA0-9B87-AA1145C599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9869840"/>
        <c:axId val="499870496"/>
      </c:lineChart>
      <c:catAx>
        <c:axId val="499869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70496"/>
        <c:crosses val="autoZero"/>
        <c:auto val="1"/>
        <c:lblAlgn val="ctr"/>
        <c:lblOffset val="100"/>
        <c:noMultiLvlLbl val="0"/>
      </c:catAx>
      <c:valAx>
        <c:axId val="49987049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6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604520</xdr:colOff>
      <xdr:row>10</xdr:row>
      <xdr:rowOff>86591</xdr:rowOff>
    </xdr:from>
    <xdr:to>
      <xdr:col>37</xdr:col>
      <xdr:colOff>158120</xdr:colOff>
      <xdr:row>26</xdr:row>
      <xdr:rowOff>40512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794507-0309-442C-B899-3D330EF0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474287</xdr:colOff>
      <xdr:row>25</xdr:row>
      <xdr:rowOff>76893</xdr:rowOff>
    </xdr:from>
    <xdr:to>
      <xdr:col>12</xdr:col>
      <xdr:colOff>426027</xdr:colOff>
      <xdr:row>49</xdr:row>
      <xdr:rowOff>50708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A6E15B-5109-49E3-AB77-0D51DF4F7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290945</xdr:colOff>
      <xdr:row>19</xdr:row>
      <xdr:rowOff>69273</xdr:rowOff>
    </xdr:from>
    <xdr:to>
      <xdr:col>28</xdr:col>
      <xdr:colOff>315600</xdr:colOff>
      <xdr:row>35</xdr:row>
      <xdr:rowOff>23194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2397E31-9D7F-4590-BBE0-B1C8F670A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6</xdr:row>
      <xdr:rowOff>83527</xdr:rowOff>
    </xdr:from>
    <xdr:to>
      <xdr:col>12</xdr:col>
      <xdr:colOff>99060</xdr:colOff>
      <xdr:row>31</xdr:row>
      <xdr:rowOff>81718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2D8005-5E35-45BF-BDE4-FC5163ACE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10</xdr:row>
      <xdr:rowOff>86868</xdr:rowOff>
    </xdr:from>
    <xdr:to>
      <xdr:col>21</xdr:col>
      <xdr:colOff>429900</xdr:colOff>
      <xdr:row>26</xdr:row>
      <xdr:rowOff>40788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0D543E-92BB-45B5-9B91-5DF737527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65237</xdr:colOff>
      <xdr:row>16</xdr:row>
      <xdr:rowOff>108016</xdr:rowOff>
    </xdr:from>
    <xdr:to>
      <xdr:col>18</xdr:col>
      <xdr:colOff>236459</xdr:colOff>
      <xdr:row>45</xdr:row>
      <xdr:rowOff>131720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306D7FB5-FAF5-4BC6-A09E-307DF0ADEE39}"/>
            </a:ext>
          </a:extLst>
        </xdr:cNvPr>
        <xdr:cNvGrpSpPr/>
      </xdr:nvGrpSpPr>
      <xdr:grpSpPr>
        <a:xfrm>
          <a:off x="6161237" y="3034096"/>
          <a:ext cx="5048022" cy="5327224"/>
          <a:chOff x="4860757" y="2711115"/>
          <a:chExt cx="5048022" cy="5373746"/>
        </a:xfrm>
      </xdr:grpSpPr>
      <xdr:graphicFrame macro="">
        <xdr:nvGraphicFramePr>
          <xdr:cNvPr id="2" name="Диаграмма 1">
            <a:extLst>
              <a:ext uri="{FF2B5EF4-FFF2-40B4-BE49-F238E27FC236}">
                <a16:creationId xmlns:a16="http://schemas.microsoft.com/office/drawing/2014/main" id="{717F6A95-B6D6-4838-BD54-0BAF80CB030F}"/>
              </a:ext>
            </a:extLst>
          </xdr:cNvPr>
          <xdr:cNvGraphicFramePr/>
        </xdr:nvGraphicFramePr>
        <xdr:xfrm>
          <a:off x="4860757" y="5204861"/>
          <a:ext cx="50400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32CDE536-4836-4B7C-A833-8F9499D54BD7}"/>
              </a:ext>
            </a:extLst>
          </xdr:cNvPr>
          <xdr:cNvGraphicFramePr/>
        </xdr:nvGraphicFramePr>
        <xdr:xfrm>
          <a:off x="4868779" y="2711115"/>
          <a:ext cx="504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21</xdr:col>
      <xdr:colOff>314764</xdr:colOff>
      <xdr:row>13</xdr:row>
      <xdr:rowOff>154344</xdr:rowOff>
    </xdr:from>
    <xdr:to>
      <xdr:col>32</xdr:col>
      <xdr:colOff>50071</xdr:colOff>
      <xdr:row>34</xdr:row>
      <xdr:rowOff>130280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C8E79D7-EBD8-487E-8A85-DA74E43AD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593557</xdr:colOff>
      <xdr:row>8</xdr:row>
      <xdr:rowOff>140367</xdr:rowOff>
    </xdr:from>
    <xdr:to>
      <xdr:col>17</xdr:col>
      <xdr:colOff>497305</xdr:colOff>
      <xdr:row>30</xdr:row>
      <xdr:rowOff>160421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36F389-5604-4C65-B887-55CC86461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346364</xdr:colOff>
      <xdr:row>39</xdr:row>
      <xdr:rowOff>83127</xdr:rowOff>
    </xdr:from>
    <xdr:to>
      <xdr:col>11</xdr:col>
      <xdr:colOff>81671</xdr:colOff>
      <xdr:row>60</xdr:row>
      <xdr:rowOff>59064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273A36E-0032-431D-966D-6CED1039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30</xdr:row>
      <xdr:rowOff>7620</xdr:rowOff>
    </xdr:from>
    <xdr:to>
      <xdr:col>17</xdr:col>
      <xdr:colOff>487680</xdr:colOff>
      <xdr:row>50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871794-8F0C-4CE3-B094-4083B6EC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205740</xdr:colOff>
      <xdr:row>30</xdr:row>
      <xdr:rowOff>45720</xdr:rowOff>
    </xdr:from>
    <xdr:to>
      <xdr:col>26</xdr:col>
      <xdr:colOff>228600</xdr:colOff>
      <xdr:row>50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6CE16B-FE9C-4B2D-AC70-F54F8B06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53340</xdr:rowOff>
    </xdr:from>
    <xdr:to>
      <xdr:col>9</xdr:col>
      <xdr:colOff>22860</xdr:colOff>
      <xdr:row>50</xdr:row>
      <xdr:rowOff>121920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A8ADAC-AF97-4EE2-8E47-2D9D81C17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121920</xdr:colOff>
      <xdr:row>51</xdr:row>
      <xdr:rowOff>30480</xdr:rowOff>
    </xdr:from>
    <xdr:to>
      <xdr:col>28</xdr:col>
      <xdr:colOff>213360</xdr:colOff>
      <xdr:row>71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931604-C29D-4E98-8A2C-DF0D2568B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388620</xdr:colOff>
      <xdr:row>8</xdr:row>
      <xdr:rowOff>38100</xdr:rowOff>
    </xdr:from>
    <xdr:to>
      <xdr:col>19</xdr:col>
      <xdr:colOff>411480</xdr:colOff>
      <xdr:row>28</xdr:row>
      <xdr:rowOff>106680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A472D07-C67C-4170-A2B6-31A598F8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579120</xdr:colOff>
      <xdr:row>31</xdr:row>
      <xdr:rowOff>53340</xdr:rowOff>
    </xdr:from>
    <xdr:to>
      <xdr:col>39</xdr:col>
      <xdr:colOff>60960</xdr:colOff>
      <xdr:row>51</xdr:row>
      <xdr:rowOff>121920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14C9293-B75A-44A9-A5DB-282924C74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8</xdr:row>
      <xdr:rowOff>68580</xdr:rowOff>
    </xdr:from>
    <xdr:to>
      <xdr:col>30</xdr:col>
      <xdr:colOff>53340</xdr:colOff>
      <xdr:row>28</xdr:row>
      <xdr:rowOff>137160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E37A564-2354-4BF9-96B4-36058525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126999</xdr:colOff>
      <xdr:row>37</xdr:row>
      <xdr:rowOff>91208</xdr:rowOff>
    </xdr:from>
    <xdr:to>
      <xdr:col>9</xdr:col>
      <xdr:colOff>431799</xdr:colOff>
      <xdr:row>57</xdr:row>
      <xdr:rowOff>121687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0928F2-D2FA-7A67-BD5F-312B13A10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337588</xdr:colOff>
      <xdr:row>17</xdr:row>
      <xdr:rowOff>150522</xdr:rowOff>
    </xdr:from>
    <xdr:to>
      <xdr:col>29</xdr:col>
      <xdr:colOff>208897</xdr:colOff>
      <xdr:row>44</xdr:row>
      <xdr:rowOff>22886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4D6D498-E813-580B-F7BD-678F6560A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147925</xdr:colOff>
      <xdr:row>11</xdr:row>
      <xdr:rowOff>154567</xdr:rowOff>
    </xdr:from>
    <xdr:to>
      <xdr:col>39</xdr:col>
      <xdr:colOff>19773</xdr:colOff>
      <xdr:row>38</xdr:row>
      <xdr:rowOff>28313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7D803CF-1A66-411C-9C1D-49D3109A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390072</xdr:colOff>
      <xdr:row>63</xdr:row>
      <xdr:rowOff>33202</xdr:rowOff>
    </xdr:from>
    <xdr:to>
      <xdr:col>28</xdr:col>
      <xdr:colOff>253093</xdr:colOff>
      <xdr:row>83</xdr:row>
      <xdr:rowOff>120832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7FB0CE4-ECDA-49A0-8EBC-C1435965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208222</xdr:colOff>
      <xdr:row>27</xdr:row>
      <xdr:rowOff>143538</xdr:rowOff>
    </xdr:from>
    <xdr:to>
      <xdr:col>26</xdr:col>
      <xdr:colOff>500616</xdr:colOff>
      <xdr:row>42</xdr:row>
      <xdr:rowOff>95692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D451E59-2ADE-47A1-9471-40BA1C018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536479</xdr:colOff>
      <xdr:row>47</xdr:row>
      <xdr:rowOff>1351</xdr:rowOff>
    </xdr:from>
    <xdr:to>
      <xdr:col>27</xdr:col>
      <xdr:colOff>217502</xdr:colOff>
      <xdr:row>61</xdr:row>
      <xdr:rowOff>139575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4A2B0CA-5DC0-427D-9519-360C559A6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391918</xdr:colOff>
      <xdr:row>32</xdr:row>
      <xdr:rowOff>45461</xdr:rowOff>
    </xdr:from>
    <xdr:to>
      <xdr:col>36</xdr:col>
      <xdr:colOff>188342</xdr:colOff>
      <xdr:row>57</xdr:row>
      <xdr:rowOff>77891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2D4E28-A5FC-A318-4F59-3AE4BBDD6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454944</xdr:colOff>
      <xdr:row>38</xdr:row>
      <xdr:rowOff>65710</xdr:rowOff>
    </xdr:from>
    <xdr:to>
      <xdr:col>31</xdr:col>
      <xdr:colOff>246403</xdr:colOff>
      <xdr:row>64</xdr:row>
      <xdr:rowOff>98729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C6B03D-A2A2-4069-B097-2D3E0A7C9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52630</xdr:colOff>
      <xdr:row>13</xdr:row>
      <xdr:rowOff>173272</xdr:rowOff>
    </xdr:from>
    <xdr:to>
      <xdr:col>29</xdr:col>
      <xdr:colOff>383818</xdr:colOff>
      <xdr:row>37</xdr:row>
      <xdr:rowOff>104756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27781B0-FDEB-4EF3-9827-1B807235F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558744</xdr:colOff>
      <xdr:row>11</xdr:row>
      <xdr:rowOff>27564</xdr:rowOff>
    </xdr:from>
    <xdr:to>
      <xdr:col>38</xdr:col>
      <xdr:colOff>487604</xdr:colOff>
      <xdr:row>35</xdr:row>
      <xdr:rowOff>157613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FD3413B-DD38-442A-B898-964D1CAC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124753</xdr:colOff>
      <xdr:row>40</xdr:row>
      <xdr:rowOff>90628</xdr:rowOff>
    </xdr:from>
    <xdr:to>
      <xdr:col>21</xdr:col>
      <xdr:colOff>207993</xdr:colOff>
      <xdr:row>63</xdr:row>
      <xdr:rowOff>129171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D31C40-B324-04A0-221A-2A398EC49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265777</xdr:colOff>
      <xdr:row>51</xdr:row>
      <xdr:rowOff>166832</xdr:rowOff>
    </xdr:from>
    <xdr:to>
      <xdr:col>37</xdr:col>
      <xdr:colOff>58737</xdr:colOff>
      <xdr:row>77</xdr:row>
      <xdr:rowOff>20422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0A32788-F490-480E-8EF4-37D047C9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482599</xdr:colOff>
      <xdr:row>53</xdr:row>
      <xdr:rowOff>54840</xdr:rowOff>
    </xdr:from>
    <xdr:to>
      <xdr:col>9</xdr:col>
      <xdr:colOff>596899</xdr:colOff>
      <xdr:row>80</xdr:row>
      <xdr:rowOff>5136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D639460-C1D6-4BFF-8FBC-BEE60E528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831272</xdr:colOff>
      <xdr:row>95</xdr:row>
      <xdr:rowOff>164524</xdr:rowOff>
    </xdr:from>
    <xdr:to>
      <xdr:col>10</xdr:col>
      <xdr:colOff>311726</xdr:colOff>
      <xdr:row>122</xdr:row>
      <xdr:rowOff>114819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B91C3EB-7155-4B9E-8C5F-707F765A0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41563</xdr:colOff>
      <xdr:row>80</xdr:row>
      <xdr:rowOff>124690</xdr:rowOff>
    </xdr:from>
    <xdr:to>
      <xdr:col>13</xdr:col>
      <xdr:colOff>432954</xdr:colOff>
      <xdr:row>107</xdr:row>
      <xdr:rowOff>74985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9885C05-CFE4-467D-A32D-97F67ADB0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24</xdr:row>
      <xdr:rowOff>91440</xdr:rowOff>
    </xdr:from>
    <xdr:to>
      <xdr:col>7</xdr:col>
      <xdr:colOff>373380</xdr:colOff>
      <xdr:row>39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2994EF-8985-49B7-AEE1-278933087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15</xdr:row>
      <xdr:rowOff>0</xdr:rowOff>
    </xdr:from>
    <xdr:to>
      <xdr:col>21</xdr:col>
      <xdr:colOff>320040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751425-9E3C-42D9-8050-350278D3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0</xdr:row>
      <xdr:rowOff>22860</xdr:rowOff>
    </xdr:from>
    <xdr:to>
      <xdr:col>21</xdr:col>
      <xdr:colOff>297180</xdr:colOff>
      <xdr:row>15</xdr:row>
      <xdr:rowOff>22860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95997CF-841B-44D7-B6B5-E2F0B6523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14</xdr:row>
      <xdr:rowOff>99060</xdr:rowOff>
    </xdr:from>
    <xdr:to>
      <xdr:col>29</xdr:col>
      <xdr:colOff>76200</xdr:colOff>
      <xdr:row>29</xdr:row>
      <xdr:rowOff>99060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646FA4-9691-40A4-AF8A-B8C02D7F3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373380</xdr:colOff>
      <xdr:row>0</xdr:row>
      <xdr:rowOff>45720</xdr:rowOff>
    </xdr:from>
    <xdr:to>
      <xdr:col>30</xdr:col>
      <xdr:colOff>68580</xdr:colOff>
      <xdr:row>15</xdr:row>
      <xdr:rowOff>45720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FBAD52C-3B62-4EB6-8262-9CF2A7708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434340</xdr:colOff>
      <xdr:row>24</xdr:row>
      <xdr:rowOff>76200</xdr:rowOff>
    </xdr:from>
    <xdr:to>
      <xdr:col>15</xdr:col>
      <xdr:colOff>129540</xdr:colOff>
      <xdr:row>39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6A5771F-57D7-4898-9DD2-B10A81C65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40</xdr:row>
      <xdr:rowOff>53340</xdr:rowOff>
    </xdr:from>
    <xdr:to>
      <xdr:col>7</xdr:col>
      <xdr:colOff>304800</xdr:colOff>
      <xdr:row>55</xdr:row>
      <xdr:rowOff>53340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00C161-3B65-4CAD-BF65-1D8580EDE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365760</xdr:colOff>
      <xdr:row>40</xdr:row>
      <xdr:rowOff>38100</xdr:rowOff>
    </xdr:from>
    <xdr:to>
      <xdr:col>15</xdr:col>
      <xdr:colOff>60960</xdr:colOff>
      <xdr:row>55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D5A9D98-A8F9-444F-812B-7D1D06F41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4</xdr:row>
      <xdr:rowOff>114300</xdr:rowOff>
    </xdr:from>
    <xdr:to>
      <xdr:col>20</xdr:col>
      <xdr:colOff>45720</xdr:colOff>
      <xdr:row>22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39CFFE-C33B-4D02-861F-D8FE06B9D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442703</xdr:colOff>
      <xdr:row>4</xdr:row>
      <xdr:rowOff>133628</xdr:rowOff>
    </xdr:from>
    <xdr:to>
      <xdr:col>10</xdr:col>
      <xdr:colOff>409807</xdr:colOff>
      <xdr:row>25</xdr:row>
      <xdr:rowOff>16355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04DD27-6415-4122-99D7-D71ABE23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23</xdr:row>
      <xdr:rowOff>0</xdr:rowOff>
    </xdr:from>
    <xdr:to>
      <xdr:col>19</xdr:col>
      <xdr:colOff>533400</xdr:colOff>
      <xdr:row>43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D25C31-8D59-4B31-8836-210AA264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470076</xdr:colOff>
      <xdr:row>2</xdr:row>
      <xdr:rowOff>76200</xdr:rowOff>
    </xdr:from>
    <xdr:to>
      <xdr:col>20</xdr:col>
      <xdr:colOff>510014</xdr:colOff>
      <xdr:row>24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7C6679-82FA-35E6-F941-C6F0704F6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434690</xdr:colOff>
      <xdr:row>12</xdr:row>
      <xdr:rowOff>7620</xdr:rowOff>
    </xdr:from>
    <xdr:to>
      <xdr:col>31</xdr:col>
      <xdr:colOff>383891</xdr:colOff>
      <xdr:row>31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51CAB21-D8EE-E9FD-C79D-119B699A0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45981</xdr:colOff>
      <xdr:row>10</xdr:row>
      <xdr:rowOff>52553</xdr:rowOff>
    </xdr:from>
    <xdr:to>
      <xdr:col>11</xdr:col>
      <xdr:colOff>13138</xdr:colOff>
      <xdr:row>30</xdr:row>
      <xdr:rowOff>31531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02C5C6-5258-1C1D-CA48-E83524806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14DC-7A7B-4139-A63E-EDB5383803A3}">
  <dimension ref="A1:R7"/>
  <sheetViews>
    <sheetView workbookViewId="0">
      <selection activeCell="F20" sqref="F20"/>
    </sheetView>
  </sheetViews>
  <sheetFormatPr defaultRowHeight="14.4" x14ac:dyDescent="0.3"/>
  <sheetData>
    <row r="1" spans="1:18" x14ac:dyDescent="0.3">
      <c r="A1" s="26" t="s">
        <v>0</v>
      </c>
      <c r="B1" s="26"/>
      <c r="E1" s="26" t="s">
        <v>1</v>
      </c>
      <c r="F1" s="26"/>
      <c r="I1" t="s">
        <v>10</v>
      </c>
      <c r="J1" t="s">
        <v>11</v>
      </c>
      <c r="K1" t="s">
        <v>10</v>
      </c>
      <c r="L1" t="s">
        <v>11</v>
      </c>
      <c r="M1" t="s">
        <v>12</v>
      </c>
      <c r="Q1" s="26" t="s">
        <v>2</v>
      </c>
      <c r="R1" s="26"/>
    </row>
    <row r="2" spans="1:18" x14ac:dyDescent="0.3">
      <c r="A2" t="s">
        <v>5</v>
      </c>
      <c r="B2" t="s">
        <v>6</v>
      </c>
      <c r="E2" t="s">
        <v>5</v>
      </c>
      <c r="F2" t="s">
        <v>6</v>
      </c>
      <c r="I2" t="s">
        <v>5</v>
      </c>
      <c r="J2" t="s">
        <v>5</v>
      </c>
      <c r="K2" t="s">
        <v>6</v>
      </c>
      <c r="L2" t="s">
        <v>6</v>
      </c>
      <c r="Q2" t="s">
        <v>5</v>
      </c>
      <c r="R2" t="s">
        <v>6</v>
      </c>
    </row>
    <row r="3" spans="1:18" x14ac:dyDescent="0.3">
      <c r="A3" s="2">
        <v>0.48099999999999998</v>
      </c>
      <c r="B3" s="2">
        <v>0.79900000000000004</v>
      </c>
      <c r="C3" s="1"/>
      <c r="D3" s="1">
        <v>1</v>
      </c>
      <c r="E3" s="1">
        <f>(6903*100/13000)%</f>
        <v>0.53100000000000003</v>
      </c>
      <c r="F3" s="1">
        <f>(10708*100/13000)%</f>
        <v>0.82369230769230772</v>
      </c>
      <c r="G3" s="1"/>
      <c r="H3" s="2">
        <v>1</v>
      </c>
      <c r="I3" s="4">
        <v>0.77600000000000002</v>
      </c>
      <c r="J3" s="4">
        <v>0.80800000000000005</v>
      </c>
      <c r="K3" s="4">
        <v>0.91200000000000003</v>
      </c>
      <c r="L3" s="4">
        <v>0.92500000000000004</v>
      </c>
      <c r="O3" s="1"/>
      <c r="P3" s="1">
        <v>1</v>
      </c>
      <c r="Q3" s="1">
        <v>0.6873999999999999</v>
      </c>
      <c r="R3" s="1">
        <v>0.91159999999999997</v>
      </c>
    </row>
    <row r="4" spans="1:18" x14ac:dyDescent="0.3">
      <c r="A4" s="2">
        <v>0.47399999999999998</v>
      </c>
      <c r="B4" s="2">
        <v>0.78900000000000003</v>
      </c>
      <c r="C4" s="1"/>
      <c r="D4" s="1">
        <v>0.75</v>
      </c>
      <c r="E4" s="1">
        <f>(6382*100/13000)%</f>
        <v>0.49092307692307691</v>
      </c>
      <c r="F4" s="1">
        <f>(10199*100/13000)%</f>
        <v>0.78453846153846163</v>
      </c>
      <c r="G4" s="1"/>
      <c r="H4" s="2">
        <v>0.75</v>
      </c>
      <c r="I4" s="4">
        <v>0.76600000000000001</v>
      </c>
      <c r="J4" s="5">
        <v>0.77700000000000002</v>
      </c>
      <c r="K4" s="4">
        <v>0.90800000000000003</v>
      </c>
      <c r="L4" s="5">
        <v>0.91</v>
      </c>
      <c r="O4" s="1"/>
      <c r="P4" s="1">
        <v>0.75</v>
      </c>
      <c r="Q4" s="1">
        <v>0.68420000000000003</v>
      </c>
      <c r="R4" s="1">
        <v>0.9042</v>
      </c>
    </row>
    <row r="5" spans="1:18" x14ac:dyDescent="0.3">
      <c r="A5" s="2">
        <v>0.47199999999999998</v>
      </c>
      <c r="B5" s="2">
        <v>0.77800000000000002</v>
      </c>
      <c r="C5" s="1"/>
      <c r="D5" s="1">
        <v>0.5</v>
      </c>
      <c r="E5" s="1">
        <f>(6308*100/13000)%</f>
        <v>0.48523076923076919</v>
      </c>
      <c r="F5" s="1">
        <f>(10122*100/13000)%</f>
        <v>0.7786153846153846</v>
      </c>
      <c r="G5" s="1"/>
      <c r="H5" s="2">
        <v>0.5</v>
      </c>
      <c r="I5" s="4">
        <v>0.74199999999999999</v>
      </c>
      <c r="J5" s="4">
        <v>0.76300000000000001</v>
      </c>
      <c r="K5" s="4">
        <v>0.90700000000000003</v>
      </c>
      <c r="L5" s="4">
        <v>0.90700000000000003</v>
      </c>
      <c r="O5" s="1"/>
      <c r="P5" s="1">
        <v>0.5</v>
      </c>
      <c r="Q5" s="1">
        <v>0.66949999999999998</v>
      </c>
      <c r="R5" s="1">
        <v>0.90110000000000001</v>
      </c>
    </row>
    <row r="6" spans="1:18" x14ac:dyDescent="0.3">
      <c r="A6" s="2">
        <v>0.46100000000000002</v>
      </c>
      <c r="B6" s="2">
        <v>0.749</v>
      </c>
      <c r="C6" s="1"/>
      <c r="D6" s="1">
        <v>0.25</v>
      </c>
      <c r="E6" s="1">
        <f>(6115*100/13000)%</f>
        <v>0.4703846153846154</v>
      </c>
      <c r="F6" s="1">
        <f>(9843*100/13000)%</f>
        <v>0.75715384615384618</v>
      </c>
      <c r="G6" s="1"/>
      <c r="H6" s="2">
        <v>0.25</v>
      </c>
      <c r="I6" s="4">
        <v>0.69899999999999995</v>
      </c>
      <c r="J6" s="4">
        <v>0.72599999999999998</v>
      </c>
      <c r="K6" s="4">
        <v>0.88</v>
      </c>
      <c r="L6" s="4">
        <v>0.88100000000000001</v>
      </c>
      <c r="O6" s="1"/>
      <c r="P6" s="1">
        <v>0.25</v>
      </c>
      <c r="Q6" s="1">
        <v>0.66739999999999999</v>
      </c>
      <c r="R6" s="1">
        <v>0.9</v>
      </c>
    </row>
    <row r="7" spans="1:18" x14ac:dyDescent="0.3">
      <c r="A7" s="2">
        <v>0.41599999999999998</v>
      </c>
      <c r="B7" s="2">
        <v>0.66800000000000004</v>
      </c>
      <c r="C7" s="1"/>
      <c r="D7" s="1">
        <v>0.1</v>
      </c>
      <c r="E7" s="1">
        <f>(5358*100/13000)%</f>
        <v>0.41215384615384615</v>
      </c>
      <c r="F7" s="1">
        <f>(8759*100/13000)%</f>
        <v>0.67376923076923079</v>
      </c>
      <c r="G7" s="1"/>
      <c r="H7" s="2">
        <v>0.1</v>
      </c>
      <c r="I7" s="4">
        <v>0.61199999999999999</v>
      </c>
      <c r="J7" s="4">
        <v>0.63100000000000001</v>
      </c>
      <c r="K7" s="4">
        <v>0.81399999999999995</v>
      </c>
      <c r="L7" s="4">
        <v>0.82499999999999996</v>
      </c>
      <c r="O7" s="1"/>
      <c r="P7" s="1">
        <v>0.1</v>
      </c>
      <c r="Q7" s="1">
        <v>0.65790000000000004</v>
      </c>
      <c r="R7" s="1">
        <v>0.85790000000000011</v>
      </c>
    </row>
  </sheetData>
  <mergeCells count="3">
    <mergeCell ref="A1:B1"/>
    <mergeCell ref="E1:F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CD8E-A727-4DAB-987E-72F0EA54A300}">
  <dimension ref="A1:V55"/>
  <sheetViews>
    <sheetView zoomScale="55" zoomScaleNormal="55" workbookViewId="0">
      <selection activeCell="P31" sqref="P31"/>
    </sheetView>
  </sheetViews>
  <sheetFormatPr defaultRowHeight="14.4" x14ac:dyDescent="0.3"/>
  <cols>
    <col min="22" max="22" width="10.88671875" bestFit="1" customWidth="1"/>
  </cols>
  <sheetData>
    <row r="1" spans="1:22" x14ac:dyDescent="0.3">
      <c r="E1" s="26" t="s">
        <v>0</v>
      </c>
      <c r="F1" s="26"/>
      <c r="I1" s="26" t="s">
        <v>1</v>
      </c>
      <c r="J1" s="26"/>
      <c r="M1" t="s">
        <v>10</v>
      </c>
      <c r="N1" t="s">
        <v>11</v>
      </c>
      <c r="O1" t="s">
        <v>10</v>
      </c>
      <c r="P1" t="s">
        <v>11</v>
      </c>
      <c r="Q1" t="s">
        <v>12</v>
      </c>
      <c r="U1" s="26" t="s">
        <v>2</v>
      </c>
      <c r="V1" s="26"/>
    </row>
    <row r="2" spans="1:22" x14ac:dyDescent="0.3">
      <c r="E2" t="s">
        <v>5</v>
      </c>
      <c r="F2" t="s">
        <v>6</v>
      </c>
      <c r="I2" t="s">
        <v>5</v>
      </c>
      <c r="J2" t="s">
        <v>6</v>
      </c>
      <c r="M2" t="s">
        <v>5</v>
      </c>
      <c r="N2" t="s">
        <v>5</v>
      </c>
      <c r="O2" t="s">
        <v>6</v>
      </c>
      <c r="P2" t="s">
        <v>6</v>
      </c>
      <c r="U2" t="s">
        <v>5</v>
      </c>
      <c r="V2" t="s">
        <v>6</v>
      </c>
    </row>
    <row r="3" spans="1:22" x14ac:dyDescent="0.3">
      <c r="A3" s="1"/>
      <c r="B3" s="1"/>
      <c r="C3" s="1"/>
      <c r="D3" s="1">
        <v>1</v>
      </c>
      <c r="E3" s="2">
        <v>0.48099999999999998</v>
      </c>
      <c r="F3" s="2">
        <v>0.79900000000000004</v>
      </c>
      <c r="G3" s="1"/>
      <c r="H3" s="1">
        <v>1</v>
      </c>
      <c r="I3" s="1">
        <f>(6903*100/13000)%</f>
        <v>0.53100000000000003</v>
      </c>
      <c r="J3" s="1">
        <f>(10708*100/13000)%</f>
        <v>0.82369230769230772</v>
      </c>
      <c r="K3" s="1"/>
      <c r="L3" s="2">
        <v>1</v>
      </c>
      <c r="M3" s="4">
        <v>0.77600000000000002</v>
      </c>
      <c r="N3" s="4">
        <v>0.80800000000000005</v>
      </c>
      <c r="O3" s="4">
        <v>0.91200000000000003</v>
      </c>
      <c r="P3" s="4">
        <v>0.92500000000000004</v>
      </c>
      <c r="S3" s="1"/>
      <c r="T3" s="1">
        <v>1</v>
      </c>
      <c r="U3" s="1">
        <v>0.6873999999999999</v>
      </c>
      <c r="V3" s="1">
        <v>0.91159999999999997</v>
      </c>
    </row>
    <row r="4" spans="1:22" x14ac:dyDescent="0.3">
      <c r="A4" s="1"/>
      <c r="B4" s="1"/>
      <c r="C4" s="1"/>
      <c r="D4" s="1">
        <v>0.75</v>
      </c>
      <c r="E4" s="2">
        <v>0.47399999999999998</v>
      </c>
      <c r="F4" s="2">
        <v>0.78900000000000003</v>
      </c>
      <c r="G4" s="1"/>
      <c r="H4" s="1">
        <v>0.75</v>
      </c>
      <c r="I4" s="1">
        <f>(6382*100/13000)%</f>
        <v>0.49092307692307691</v>
      </c>
      <c r="J4" s="1">
        <f>(10199*100/13000)%</f>
        <v>0.78453846153846163</v>
      </c>
      <c r="K4" s="1"/>
      <c r="L4" s="2">
        <v>0.75</v>
      </c>
      <c r="M4" s="4">
        <v>0.76600000000000001</v>
      </c>
      <c r="N4" s="5">
        <v>0.77700000000000002</v>
      </c>
      <c r="O4" s="4">
        <v>0.90800000000000003</v>
      </c>
      <c r="P4" s="5">
        <v>0.91</v>
      </c>
      <c r="S4" s="1"/>
      <c r="T4" s="1">
        <v>0.75</v>
      </c>
      <c r="U4" s="1">
        <v>0.68420000000000003</v>
      </c>
      <c r="V4" s="1">
        <v>0.9042</v>
      </c>
    </row>
    <row r="5" spans="1:22" x14ac:dyDescent="0.3">
      <c r="A5" s="1"/>
      <c r="B5" s="1" t="s">
        <v>3</v>
      </c>
      <c r="C5" s="1"/>
      <c r="D5" s="1">
        <v>0.5</v>
      </c>
      <c r="E5" s="2">
        <v>0.47199999999999998</v>
      </c>
      <c r="F5" s="2">
        <v>0.77800000000000002</v>
      </c>
      <c r="G5" s="1"/>
      <c r="H5" s="1">
        <v>0.5</v>
      </c>
      <c r="I5" s="1">
        <f>(6308*100/13000)%</f>
        <v>0.48523076923076919</v>
      </c>
      <c r="J5" s="1">
        <f>(10122*100/13000)%</f>
        <v>0.7786153846153846</v>
      </c>
      <c r="K5" s="1"/>
      <c r="L5" s="2">
        <v>0.5</v>
      </c>
      <c r="M5" s="4">
        <v>0.74199999999999999</v>
      </c>
      <c r="N5" s="4">
        <v>0.76300000000000001</v>
      </c>
      <c r="O5" s="4">
        <v>0.90700000000000003</v>
      </c>
      <c r="P5" s="4">
        <v>0.90700000000000003</v>
      </c>
      <c r="S5" s="1"/>
      <c r="T5" s="1">
        <v>0.5</v>
      </c>
      <c r="U5" s="1">
        <v>0.66949999999999998</v>
      </c>
      <c r="V5" s="1">
        <v>0.90110000000000001</v>
      </c>
    </row>
    <row r="6" spans="1:22" x14ac:dyDescent="0.3">
      <c r="A6" s="1"/>
      <c r="B6" s="1"/>
      <c r="C6" s="1"/>
      <c r="D6" s="1">
        <v>0.25</v>
      </c>
      <c r="E6" s="2">
        <v>0.46100000000000002</v>
      </c>
      <c r="F6" s="2">
        <v>0.749</v>
      </c>
      <c r="G6" s="1"/>
      <c r="H6" s="1">
        <v>0.25</v>
      </c>
      <c r="I6" s="1">
        <f>(6115*100/13000)%</f>
        <v>0.4703846153846154</v>
      </c>
      <c r="J6" s="1">
        <f>(9843*100/13000)%</f>
        <v>0.75715384615384618</v>
      </c>
      <c r="K6" s="1"/>
      <c r="L6" s="2">
        <v>0.25</v>
      </c>
      <c r="M6" s="4">
        <v>0.69899999999999995</v>
      </c>
      <c r="N6" s="4">
        <v>0.72599999999999998</v>
      </c>
      <c r="O6" s="4">
        <v>0.88</v>
      </c>
      <c r="P6" s="4">
        <v>0.88100000000000001</v>
      </c>
      <c r="S6" s="1"/>
      <c r="T6" s="1">
        <v>0.25</v>
      </c>
      <c r="U6" s="1">
        <v>0.66739999999999999</v>
      </c>
      <c r="V6" s="1">
        <v>0.9</v>
      </c>
    </row>
    <row r="7" spans="1:22" x14ac:dyDescent="0.3">
      <c r="A7" s="1"/>
      <c r="B7" s="1"/>
      <c r="C7" s="1"/>
      <c r="D7" s="1">
        <v>0.1</v>
      </c>
      <c r="E7" s="2">
        <v>0.41599999999999998</v>
      </c>
      <c r="F7" s="2">
        <v>0.66800000000000004</v>
      </c>
      <c r="G7" s="1"/>
      <c r="H7" s="1">
        <v>0.1</v>
      </c>
      <c r="I7" s="1">
        <f>(5358*100/13000)%</f>
        <v>0.41215384615384615</v>
      </c>
      <c r="J7" s="1">
        <f>(8759*100/13000)%</f>
        <v>0.67376923076923079</v>
      </c>
      <c r="K7" s="1"/>
      <c r="L7" s="2">
        <v>0.1</v>
      </c>
      <c r="M7" s="4">
        <v>0.61199999999999999</v>
      </c>
      <c r="N7" s="4">
        <v>0.63100000000000001</v>
      </c>
      <c r="O7" s="4">
        <v>0.81399999999999995</v>
      </c>
      <c r="P7" s="4">
        <v>0.82499999999999996</v>
      </c>
      <c r="S7" s="1"/>
      <c r="T7" s="1">
        <v>0.1</v>
      </c>
      <c r="U7" s="1">
        <v>0.65790000000000004</v>
      </c>
      <c r="V7" s="1">
        <v>0.85790000000000011</v>
      </c>
    </row>
    <row r="8" spans="1:2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2" x14ac:dyDescent="0.3">
      <c r="A10" s="1"/>
      <c r="B10" s="1"/>
      <c r="C10" s="1"/>
      <c r="D10" s="1"/>
      <c r="E10" t="s">
        <v>7</v>
      </c>
      <c r="F10" t="s">
        <v>8</v>
      </c>
      <c r="G10" s="1"/>
      <c r="H10" s="1"/>
      <c r="I10" t="s">
        <v>7</v>
      </c>
      <c r="J10" t="s">
        <v>8</v>
      </c>
      <c r="K10" s="1"/>
      <c r="L10" s="1"/>
      <c r="M10" t="s">
        <v>7</v>
      </c>
      <c r="N10" t="s">
        <v>8</v>
      </c>
      <c r="O10" s="1"/>
      <c r="P10" s="1"/>
      <c r="Q10" t="s">
        <v>7</v>
      </c>
      <c r="R10" t="s">
        <v>8</v>
      </c>
      <c r="S10" s="1"/>
      <c r="U10" t="s">
        <v>7</v>
      </c>
      <c r="V10" t="s">
        <v>8</v>
      </c>
    </row>
    <row r="11" spans="1:22" x14ac:dyDescent="0.3">
      <c r="A11" s="1"/>
      <c r="B11" s="1"/>
      <c r="C11" s="1"/>
      <c r="D11" s="1">
        <v>1</v>
      </c>
      <c r="E11" s="2">
        <v>0.71499999999999997</v>
      </c>
      <c r="F11" s="2">
        <v>0.28499999999999998</v>
      </c>
      <c r="G11" s="1"/>
      <c r="H11" s="1">
        <v>1</v>
      </c>
      <c r="I11" s="1">
        <f>(9733*100/13000)%</f>
        <v>0.74869230769230766</v>
      </c>
      <c r="J11" s="1">
        <f>(3768*100/13000)%</f>
        <v>0.28984615384615386</v>
      </c>
      <c r="K11" s="1"/>
      <c r="L11" s="1">
        <v>1</v>
      </c>
      <c r="M11" s="2">
        <v>0.80100000000000005</v>
      </c>
      <c r="N11" s="2">
        <v>0.19900000000000001</v>
      </c>
      <c r="O11" s="1"/>
      <c r="P11" s="1">
        <v>1</v>
      </c>
      <c r="Q11" s="2">
        <v>0.80100000000000005</v>
      </c>
      <c r="R11" s="2">
        <v>0.19900000000000001</v>
      </c>
      <c r="S11" s="1"/>
      <c r="T11" s="1">
        <v>1</v>
      </c>
      <c r="U11" s="2">
        <v>0.80100000000000005</v>
      </c>
      <c r="V11" s="2">
        <v>0.19900000000000001</v>
      </c>
    </row>
    <row r="12" spans="1:22" x14ac:dyDescent="0.3">
      <c r="A12" s="1"/>
      <c r="B12" s="1"/>
      <c r="C12" s="1"/>
      <c r="D12" s="1">
        <v>0.75</v>
      </c>
      <c r="E12" s="2">
        <v>0.67</v>
      </c>
      <c r="F12" s="2">
        <v>0.33</v>
      </c>
      <c r="G12" s="1"/>
      <c r="H12" s="1">
        <v>0.75</v>
      </c>
      <c r="I12" s="1">
        <f>(8826*100/13000)%</f>
        <v>0.67892307692307696</v>
      </c>
      <c r="J12" s="1">
        <f>(4174*100/13000)%</f>
        <v>0.32107692307692309</v>
      </c>
      <c r="K12" s="1"/>
      <c r="L12" s="1">
        <v>0.75</v>
      </c>
      <c r="M12" s="2">
        <v>0.77800000000000002</v>
      </c>
      <c r="N12" s="2">
        <v>0.222</v>
      </c>
      <c r="O12" s="1"/>
      <c r="P12" s="1">
        <v>0.75</v>
      </c>
      <c r="Q12" s="3">
        <v>0.75</v>
      </c>
      <c r="R12" s="3">
        <v>0.25</v>
      </c>
      <c r="S12" s="1"/>
      <c r="T12" s="1">
        <v>0.75</v>
      </c>
      <c r="U12" s="2">
        <v>0.77800000000000002</v>
      </c>
      <c r="V12" s="2">
        <v>0.222</v>
      </c>
    </row>
    <row r="13" spans="1:22" x14ac:dyDescent="0.3">
      <c r="A13" s="1"/>
      <c r="B13" s="1" t="s">
        <v>4</v>
      </c>
      <c r="C13" s="1"/>
      <c r="D13" s="1">
        <v>0.5</v>
      </c>
      <c r="E13" s="2">
        <v>0.54900000000000004</v>
      </c>
      <c r="F13" s="2">
        <v>0.45100000000000001</v>
      </c>
      <c r="G13" s="1"/>
      <c r="H13" s="1">
        <v>0.5</v>
      </c>
      <c r="I13" s="1">
        <f>(7441*100/13000)%</f>
        <v>0.57238461538461538</v>
      </c>
      <c r="J13" s="1">
        <f>(5559*100/13000)%</f>
        <v>0.42761538461538462</v>
      </c>
      <c r="K13" s="1"/>
      <c r="L13" s="1">
        <v>0.5</v>
      </c>
      <c r="M13" s="2">
        <v>0.70399999999999996</v>
      </c>
      <c r="N13" s="2">
        <v>0.29599999999999999</v>
      </c>
      <c r="O13" s="1"/>
      <c r="P13" s="1">
        <v>0.5</v>
      </c>
      <c r="Q13" s="2">
        <v>0.70399999999999996</v>
      </c>
      <c r="R13" s="2">
        <v>0.29599999999999999</v>
      </c>
      <c r="S13" s="1"/>
      <c r="T13" s="1">
        <v>0.5</v>
      </c>
      <c r="U13" s="2">
        <v>0.70399999999999996</v>
      </c>
      <c r="V13" s="2">
        <v>0.29599999999999999</v>
      </c>
    </row>
    <row r="14" spans="1:22" x14ac:dyDescent="0.3">
      <c r="A14" s="1"/>
      <c r="B14" s="1"/>
      <c r="C14" s="1"/>
      <c r="D14" s="1">
        <v>0.25</v>
      </c>
      <c r="E14" s="2">
        <v>0.245</v>
      </c>
      <c r="F14" s="2">
        <v>0.755</v>
      </c>
      <c r="G14" s="1"/>
      <c r="H14" s="1">
        <v>0.25</v>
      </c>
      <c r="I14" s="1">
        <f>(3222*100/13000)%</f>
        <v>0.24784615384615385</v>
      </c>
      <c r="J14" s="1">
        <f>(9778*100/13000)%</f>
        <v>0.75215384615384617</v>
      </c>
      <c r="K14" s="1"/>
      <c r="L14" s="1">
        <v>0.25</v>
      </c>
      <c r="M14" s="2">
        <v>0.38800000000000001</v>
      </c>
      <c r="N14" s="2">
        <v>0.61199999999999999</v>
      </c>
      <c r="O14" s="1"/>
      <c r="P14" s="1">
        <v>0.25</v>
      </c>
      <c r="Q14" s="2">
        <v>0.38800000000000001</v>
      </c>
      <c r="R14" s="2">
        <v>0.61199999999999999</v>
      </c>
      <c r="S14" s="1"/>
      <c r="T14" s="1">
        <v>0.25</v>
      </c>
      <c r="U14" s="2">
        <v>0.38800000000000001</v>
      </c>
      <c r="V14" s="2">
        <v>0.61199999999999999</v>
      </c>
    </row>
    <row r="15" spans="1:22" x14ac:dyDescent="0.3">
      <c r="A15" s="1"/>
      <c r="B15" s="1"/>
      <c r="C15" s="1"/>
      <c r="D15" s="1">
        <v>0.1</v>
      </c>
      <c r="E15" s="2">
        <v>5.0000000000000001E-3</v>
      </c>
      <c r="F15" s="2">
        <v>0.995</v>
      </c>
      <c r="G15" s="1"/>
      <c r="H15" s="1">
        <v>0.1</v>
      </c>
      <c r="I15" s="1">
        <f>(58*100/13000)%</f>
        <v>4.4615384615384621E-3</v>
      </c>
      <c r="J15" s="1">
        <f>(12942*100/13000)%</f>
        <v>0.99553846153846148</v>
      </c>
      <c r="K15" s="1"/>
      <c r="L15" s="1">
        <v>0.1</v>
      </c>
      <c r="M15" s="2">
        <v>8.0000000000000002E-3</v>
      </c>
      <c r="N15" s="2">
        <v>0.99199999999999999</v>
      </c>
      <c r="O15" s="1"/>
      <c r="P15" s="1">
        <v>0.1</v>
      </c>
      <c r="Q15" s="2">
        <v>8.0000000000000002E-3</v>
      </c>
      <c r="R15" s="2">
        <v>0.99199999999999999</v>
      </c>
      <c r="S15" s="1"/>
      <c r="T15" s="1">
        <v>0.1</v>
      </c>
      <c r="U15" s="2">
        <v>8.0000000000000002E-3</v>
      </c>
      <c r="V15" s="2">
        <v>0.99199999999999999</v>
      </c>
    </row>
    <row r="16" spans="1:2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 t="s">
        <v>9</v>
      </c>
      <c r="F17" s="1" t="s">
        <v>8</v>
      </c>
      <c r="G17" s="1" t="s">
        <v>9</v>
      </c>
      <c r="H17" s="1" t="s">
        <v>8</v>
      </c>
      <c r="M17" s="1"/>
      <c r="N17" s="1"/>
      <c r="O17" s="27" t="s">
        <v>7</v>
      </c>
      <c r="P17" s="27"/>
      <c r="S17" s="1"/>
    </row>
    <row r="18" spans="1:19" x14ac:dyDescent="0.3">
      <c r="A18" s="1"/>
      <c r="B18" s="1"/>
      <c r="C18" s="1"/>
      <c r="E18" t="s">
        <v>5</v>
      </c>
      <c r="F18" t="s">
        <v>5</v>
      </c>
      <c r="G18" t="s">
        <v>6</v>
      </c>
      <c r="H18" t="s">
        <v>6</v>
      </c>
      <c r="M18" s="1"/>
      <c r="N18" s="1"/>
      <c r="O18" t="s">
        <v>5</v>
      </c>
      <c r="P18" t="s">
        <v>6</v>
      </c>
      <c r="S18" s="1"/>
    </row>
    <row r="19" spans="1:19" x14ac:dyDescent="0.3">
      <c r="A19" s="1"/>
      <c r="B19" s="1"/>
      <c r="C19" s="1"/>
      <c r="D19" s="2">
        <v>1</v>
      </c>
      <c r="E19" s="4">
        <v>0.46700000000000003</v>
      </c>
      <c r="F19" s="4">
        <v>0.502</v>
      </c>
      <c r="G19" s="4">
        <v>0.79300000000000004</v>
      </c>
      <c r="H19" s="4">
        <v>0.84399999999999997</v>
      </c>
      <c r="M19" s="1"/>
      <c r="N19" s="1"/>
      <c r="O19" s="4">
        <v>0.48</v>
      </c>
      <c r="P19" s="4">
        <v>0.8</v>
      </c>
      <c r="S19" s="1"/>
    </row>
    <row r="20" spans="1:19" x14ac:dyDescent="0.3">
      <c r="A20" s="1"/>
      <c r="B20" s="1"/>
      <c r="C20" s="1"/>
      <c r="D20" s="2">
        <v>0.75</v>
      </c>
      <c r="E20" s="4">
        <v>0.47199999999999998</v>
      </c>
      <c r="F20" s="4">
        <v>0.51300000000000001</v>
      </c>
      <c r="G20" s="4">
        <v>0.79900000000000004</v>
      </c>
      <c r="H20" s="4">
        <v>0.83799999999999997</v>
      </c>
      <c r="L20">
        <v>5</v>
      </c>
      <c r="M20" s="1"/>
      <c r="N20" s="1"/>
      <c r="O20" s="4">
        <v>0.49</v>
      </c>
      <c r="P20" s="4">
        <v>0.79</v>
      </c>
      <c r="S20" s="1"/>
    </row>
    <row r="21" spans="1:19" x14ac:dyDescent="0.3">
      <c r="A21" s="1"/>
      <c r="B21" s="1"/>
      <c r="C21" s="1"/>
      <c r="D21" s="2">
        <v>0.5</v>
      </c>
      <c r="E21" s="4">
        <v>0.49099999999999999</v>
      </c>
      <c r="F21" s="4">
        <v>0.51100000000000001</v>
      </c>
      <c r="G21" s="4">
        <v>0.81200000000000006</v>
      </c>
      <c r="H21" s="4">
        <v>0.84699999999999998</v>
      </c>
      <c r="M21" s="1"/>
      <c r="O21" s="4">
        <v>0.47</v>
      </c>
      <c r="P21" s="4">
        <v>0.79</v>
      </c>
      <c r="S21" s="1"/>
    </row>
    <row r="22" spans="1:19" x14ac:dyDescent="0.3">
      <c r="A22" s="1"/>
      <c r="B22" s="1"/>
      <c r="C22" s="1"/>
      <c r="D22" s="2">
        <v>0.25</v>
      </c>
      <c r="E22" s="4">
        <v>0.49299999999999999</v>
      </c>
      <c r="F22" s="4">
        <v>0.5</v>
      </c>
      <c r="G22" s="4">
        <v>0.74299999999999999</v>
      </c>
      <c r="H22" s="4">
        <v>0.83</v>
      </c>
      <c r="M22" s="1"/>
      <c r="N22" s="1"/>
      <c r="O22" s="4">
        <v>0.42</v>
      </c>
      <c r="P22" s="4">
        <v>0.7</v>
      </c>
      <c r="S22" s="1"/>
    </row>
    <row r="23" spans="1:19" x14ac:dyDescent="0.3">
      <c r="A23" s="1"/>
      <c r="B23" s="1"/>
      <c r="C23" s="1"/>
      <c r="D23" s="2">
        <v>0.1</v>
      </c>
      <c r="E23" s="4">
        <v>0.34899999999999998</v>
      </c>
      <c r="F23" s="4">
        <v>0.441</v>
      </c>
      <c r="G23" s="4">
        <v>0.55800000000000005</v>
      </c>
      <c r="H23" s="4">
        <v>0.746</v>
      </c>
      <c r="M23" s="1"/>
      <c r="N23" s="1"/>
      <c r="O23" s="4">
        <v>0.17</v>
      </c>
      <c r="P23" s="4">
        <v>0.39</v>
      </c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51" spans="13:17" x14ac:dyDescent="0.3">
      <c r="N51" t="s">
        <v>16</v>
      </c>
      <c r="O51" t="s">
        <v>17</v>
      </c>
      <c r="P51" t="s">
        <v>18</v>
      </c>
    </row>
    <row r="52" spans="13:17" x14ac:dyDescent="0.3">
      <c r="M52" t="s">
        <v>19</v>
      </c>
      <c r="Q52" t="s">
        <v>5</v>
      </c>
    </row>
    <row r="53" spans="13:17" x14ac:dyDescent="0.3">
      <c r="M53" t="s">
        <v>20</v>
      </c>
      <c r="Q53" t="s">
        <v>6</v>
      </c>
    </row>
    <row r="54" spans="13:17" x14ac:dyDescent="0.3">
      <c r="N54">
        <v>100</v>
      </c>
      <c r="O54">
        <v>75</v>
      </c>
      <c r="P54">
        <v>50</v>
      </c>
    </row>
    <row r="55" spans="13:17" x14ac:dyDescent="0.3">
      <c r="O55">
        <v>25</v>
      </c>
      <c r="P55">
        <v>10</v>
      </c>
    </row>
  </sheetData>
  <mergeCells count="4">
    <mergeCell ref="U1:V1"/>
    <mergeCell ref="O17:P17"/>
    <mergeCell ref="I1:J1"/>
    <mergeCell ref="E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9CA-6E70-4E2C-9CDE-91C0B5C5467B}">
  <dimension ref="A1:U8"/>
  <sheetViews>
    <sheetView zoomScale="55" zoomScaleNormal="55" workbookViewId="0">
      <selection activeCell="S39" sqref="S39"/>
    </sheetView>
  </sheetViews>
  <sheetFormatPr defaultRowHeight="14.4" x14ac:dyDescent="0.3"/>
  <cols>
    <col min="11" max="14" width="11.44140625" customWidth="1"/>
  </cols>
  <sheetData>
    <row r="1" spans="1:21" x14ac:dyDescent="0.3">
      <c r="B1" t="s">
        <v>13</v>
      </c>
      <c r="C1" t="s">
        <v>14</v>
      </c>
      <c r="D1" t="s">
        <v>13</v>
      </c>
      <c r="E1" t="s">
        <v>14</v>
      </c>
    </row>
    <row r="2" spans="1:21" x14ac:dyDescent="0.3">
      <c r="B2" t="s">
        <v>5</v>
      </c>
      <c r="C2" t="s">
        <v>5</v>
      </c>
      <c r="D2" t="s">
        <v>6</v>
      </c>
      <c r="E2" t="s">
        <v>6</v>
      </c>
      <c r="K2" t="s">
        <v>25</v>
      </c>
      <c r="L2" t="s">
        <v>23</v>
      </c>
      <c r="M2" t="s">
        <v>15</v>
      </c>
      <c r="T2" t="s">
        <v>23</v>
      </c>
      <c r="U2" t="s">
        <v>15</v>
      </c>
    </row>
    <row r="3" spans="1:21" x14ac:dyDescent="0.3">
      <c r="A3" s="2">
        <v>1</v>
      </c>
      <c r="B3" s="4">
        <f>(6903*100/13000)%</f>
        <v>0.53100000000000003</v>
      </c>
      <c r="C3" s="4">
        <v>0.80800000000000005</v>
      </c>
      <c r="D3" s="4">
        <f>(10708*100/13000)%</f>
        <v>0.82369230769230772</v>
      </c>
      <c r="E3" s="4">
        <v>0.92500000000000004</v>
      </c>
      <c r="K3" t="s">
        <v>5</v>
      </c>
      <c r="L3" t="s">
        <v>5</v>
      </c>
      <c r="M3" t="s">
        <v>5</v>
      </c>
      <c r="T3" t="s">
        <v>6</v>
      </c>
      <c r="U3" t="s">
        <v>6</v>
      </c>
    </row>
    <row r="4" spans="1:21" x14ac:dyDescent="0.3">
      <c r="A4" s="2">
        <v>0.75</v>
      </c>
      <c r="B4" s="4">
        <f>(6382*100/13000)%</f>
        <v>0.49092307692307691</v>
      </c>
      <c r="C4" s="5">
        <v>0.77700000000000002</v>
      </c>
      <c r="D4" s="4">
        <f>(10199*100/13000)%</f>
        <v>0.78453846153846163</v>
      </c>
      <c r="E4" s="5">
        <v>0.91</v>
      </c>
      <c r="J4" s="2">
        <v>1</v>
      </c>
      <c r="K4" s="4">
        <v>0.48099999999999998</v>
      </c>
      <c r="L4" s="4">
        <v>0.77600000000000002</v>
      </c>
      <c r="M4" s="4">
        <v>0.6873999999999999</v>
      </c>
      <c r="T4" s="4">
        <v>0.91200000000000003</v>
      </c>
      <c r="U4" s="4">
        <v>0.91159999999999997</v>
      </c>
    </row>
    <row r="5" spans="1:21" x14ac:dyDescent="0.3">
      <c r="A5" s="2">
        <v>0.5</v>
      </c>
      <c r="B5" s="4">
        <f>(6308*100/13000)%</f>
        <v>0.48523076923076919</v>
      </c>
      <c r="C5" s="4">
        <v>0.76300000000000001</v>
      </c>
      <c r="D5" s="4">
        <f>(10122*100/13000)%</f>
        <v>0.7786153846153846</v>
      </c>
      <c r="E5" s="4">
        <v>0.90700000000000003</v>
      </c>
      <c r="J5" s="2">
        <v>0.75</v>
      </c>
      <c r="K5" s="4">
        <v>0.47399999999999998</v>
      </c>
      <c r="L5" s="4">
        <v>0.76600000000000001</v>
      </c>
      <c r="M5" s="4">
        <v>0.68420000000000003</v>
      </c>
      <c r="T5" s="4">
        <v>0.90800000000000003</v>
      </c>
      <c r="U5" s="4">
        <v>0.9042</v>
      </c>
    </row>
    <row r="6" spans="1:21" x14ac:dyDescent="0.3">
      <c r="A6" s="2">
        <v>0.25</v>
      </c>
      <c r="B6" s="4">
        <f>(6115*100/13000)%</f>
        <v>0.4703846153846154</v>
      </c>
      <c r="C6" s="4">
        <v>0.72599999999999998</v>
      </c>
      <c r="D6" s="4">
        <f>(9843*100/13000)%</f>
        <v>0.75715384615384618</v>
      </c>
      <c r="E6" s="4">
        <v>0.879</v>
      </c>
      <c r="J6" s="2">
        <v>0.5</v>
      </c>
      <c r="K6" s="4">
        <v>0.47199999999999998</v>
      </c>
      <c r="L6" s="4">
        <v>0.74199999999999999</v>
      </c>
      <c r="M6" s="4">
        <v>0.66949999999999998</v>
      </c>
      <c r="T6" s="4">
        <v>0.90700000000000003</v>
      </c>
      <c r="U6" s="4">
        <v>0.90110000000000001</v>
      </c>
    </row>
    <row r="7" spans="1:21" x14ac:dyDescent="0.3">
      <c r="A7" s="2">
        <v>0.1</v>
      </c>
      <c r="B7" s="4">
        <f>(5358*100/13000)%</f>
        <v>0.41215384615384615</v>
      </c>
      <c r="C7" s="4">
        <v>0.63100000000000001</v>
      </c>
      <c r="D7" s="4">
        <f>(8759*100/13000)%</f>
        <v>0.67376923076923079</v>
      </c>
      <c r="E7" s="4">
        <v>0.80200000000000005</v>
      </c>
      <c r="J7" s="2">
        <v>0.25</v>
      </c>
      <c r="K7" s="4">
        <v>0.46100000000000002</v>
      </c>
      <c r="L7" s="4">
        <v>0.69899999999999995</v>
      </c>
      <c r="M7" s="4">
        <v>0.66739999999999999</v>
      </c>
      <c r="T7" s="4">
        <v>0.88</v>
      </c>
      <c r="U7" s="4">
        <v>0.9</v>
      </c>
    </row>
    <row r="8" spans="1:21" x14ac:dyDescent="0.3">
      <c r="J8" s="2">
        <v>0.1</v>
      </c>
      <c r="K8" s="4">
        <v>0.41599999999999998</v>
      </c>
      <c r="L8" s="4">
        <v>0.61199999999999999</v>
      </c>
      <c r="M8" s="4">
        <v>0.65790000000000004</v>
      </c>
      <c r="T8" s="4">
        <v>0.81399999999999995</v>
      </c>
      <c r="U8" s="4">
        <v>0.85790000000000011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3B7A-E1FA-438B-B271-3A61B4338CD9}">
  <dimension ref="A1:U29"/>
  <sheetViews>
    <sheetView topLeftCell="A25" zoomScale="75" zoomScaleNormal="75" workbookViewId="0">
      <selection activeCell="P42" sqref="P42"/>
    </sheetView>
  </sheetViews>
  <sheetFormatPr defaultRowHeight="14.4" x14ac:dyDescent="0.3"/>
  <sheetData>
    <row r="1" spans="1:21" x14ac:dyDescent="0.3">
      <c r="B1" t="s">
        <v>21</v>
      </c>
      <c r="C1" t="s">
        <v>11</v>
      </c>
      <c r="D1" t="s">
        <v>21</v>
      </c>
      <c r="E1" t="s">
        <v>11</v>
      </c>
      <c r="F1" t="s">
        <v>22</v>
      </c>
      <c r="I1" t="s">
        <v>10</v>
      </c>
      <c r="J1" t="s">
        <v>11</v>
      </c>
      <c r="K1" t="s">
        <v>10</v>
      </c>
      <c r="L1" t="s">
        <v>11</v>
      </c>
      <c r="M1" t="s">
        <v>12</v>
      </c>
      <c r="Q1" s="26" t="s">
        <v>2</v>
      </c>
      <c r="R1" s="26"/>
    </row>
    <row r="2" spans="1:21" x14ac:dyDescent="0.3">
      <c r="B2" t="s">
        <v>5</v>
      </c>
      <c r="C2" t="s">
        <v>5</v>
      </c>
      <c r="D2" t="s">
        <v>6</v>
      </c>
      <c r="E2" t="s">
        <v>6</v>
      </c>
      <c r="I2" t="s">
        <v>5</v>
      </c>
      <c r="J2" t="s">
        <v>5</v>
      </c>
      <c r="K2" t="s">
        <v>6</v>
      </c>
      <c r="L2" t="s">
        <v>6</v>
      </c>
      <c r="Q2" t="s">
        <v>5</v>
      </c>
      <c r="R2" t="s">
        <v>6</v>
      </c>
    </row>
    <row r="3" spans="1:21" x14ac:dyDescent="0.3">
      <c r="A3" s="2">
        <v>1</v>
      </c>
      <c r="B3" s="4">
        <v>0.48099999999999998</v>
      </c>
      <c r="C3" s="4">
        <f>(6903*100/13000)%</f>
        <v>0.53100000000000003</v>
      </c>
      <c r="D3" s="4">
        <v>0.79900000000000004</v>
      </c>
      <c r="E3" s="4">
        <f>(10708*100/13000)%</f>
        <v>0.82369230769230772</v>
      </c>
      <c r="G3" s="1"/>
      <c r="H3" s="2">
        <v>1</v>
      </c>
      <c r="I3" s="4">
        <v>0.77600000000000002</v>
      </c>
      <c r="J3" s="4">
        <v>0.80800000000000005</v>
      </c>
      <c r="K3" s="4">
        <v>0.91200000000000003</v>
      </c>
      <c r="L3" s="4">
        <v>0.92500000000000004</v>
      </c>
      <c r="O3" s="1"/>
      <c r="P3" s="1">
        <v>1</v>
      </c>
      <c r="Q3" s="1">
        <v>0.6873999999999999</v>
      </c>
      <c r="R3" s="1">
        <v>0.91159999999999997</v>
      </c>
    </row>
    <row r="4" spans="1:21" x14ac:dyDescent="0.3">
      <c r="A4" s="2">
        <v>0.75</v>
      </c>
      <c r="B4" s="4">
        <v>0.47399999999999998</v>
      </c>
      <c r="C4" s="4">
        <f>(6382*100/13000)%</f>
        <v>0.49092307692307691</v>
      </c>
      <c r="D4" s="4">
        <v>0.78900000000000003</v>
      </c>
      <c r="E4" s="4">
        <f>(10199*100/13000)%</f>
        <v>0.78453846153846163</v>
      </c>
      <c r="G4" s="1"/>
      <c r="H4" s="2">
        <v>0.75</v>
      </c>
      <c r="I4" s="4">
        <v>0.76600000000000001</v>
      </c>
      <c r="J4" s="5">
        <v>0.77700000000000002</v>
      </c>
      <c r="K4" s="4">
        <v>0.90800000000000003</v>
      </c>
      <c r="L4" s="5">
        <v>0.91</v>
      </c>
      <c r="O4" s="1"/>
      <c r="P4" s="1">
        <v>0.75</v>
      </c>
      <c r="Q4" s="1">
        <v>0.68420000000000003</v>
      </c>
      <c r="R4" s="1">
        <v>0.9042</v>
      </c>
    </row>
    <row r="5" spans="1:21" x14ac:dyDescent="0.3">
      <c r="A5" s="2">
        <v>0.5</v>
      </c>
      <c r="B5" s="4">
        <v>0.47199999999999998</v>
      </c>
      <c r="C5" s="4">
        <f>(6308*100/13000)%</f>
        <v>0.48523076923076919</v>
      </c>
      <c r="D5" s="4">
        <v>0.77800000000000002</v>
      </c>
      <c r="E5" s="4">
        <f>(10122*100/13000)%</f>
        <v>0.7786153846153846</v>
      </c>
      <c r="G5" s="1"/>
      <c r="H5" s="2">
        <v>0.5</v>
      </c>
      <c r="I5" s="4">
        <v>0.74199999999999999</v>
      </c>
      <c r="J5" s="4">
        <v>0.76300000000000001</v>
      </c>
      <c r="K5" s="4">
        <v>0.90700000000000003</v>
      </c>
      <c r="L5" s="4">
        <v>0.90700000000000003</v>
      </c>
      <c r="O5" s="1"/>
      <c r="P5" s="1">
        <v>0.5</v>
      </c>
      <c r="Q5" s="1">
        <v>0.66949999999999998</v>
      </c>
      <c r="R5" s="1">
        <v>0.90110000000000001</v>
      </c>
    </row>
    <row r="6" spans="1:21" x14ac:dyDescent="0.3">
      <c r="A6" s="2">
        <v>0.25</v>
      </c>
      <c r="B6" s="4">
        <v>0.46100000000000002</v>
      </c>
      <c r="C6" s="4">
        <f>(6115*100/13000)%</f>
        <v>0.4703846153846154</v>
      </c>
      <c r="D6" s="4">
        <v>0.749</v>
      </c>
      <c r="E6" s="4">
        <f>(9843*100/13000)%</f>
        <v>0.75715384615384618</v>
      </c>
      <c r="G6" s="1"/>
      <c r="H6" s="2">
        <v>0.25</v>
      </c>
      <c r="I6" s="4">
        <v>0.69899999999999995</v>
      </c>
      <c r="J6" s="4">
        <v>0.72599999999999998</v>
      </c>
      <c r="K6" s="4">
        <v>0.88</v>
      </c>
      <c r="L6" s="4">
        <v>0.88100000000000001</v>
      </c>
      <c r="O6" s="1"/>
      <c r="P6" s="1">
        <v>0.25</v>
      </c>
      <c r="Q6" s="1">
        <v>0.66739999999999999</v>
      </c>
      <c r="R6" s="1">
        <v>0.9</v>
      </c>
    </row>
    <row r="7" spans="1:21" x14ac:dyDescent="0.3">
      <c r="A7" s="2">
        <v>0.1</v>
      </c>
      <c r="B7" s="4">
        <v>0.41599999999999998</v>
      </c>
      <c r="C7" s="4">
        <f>(5358*100/13000)%</f>
        <v>0.41215384615384615</v>
      </c>
      <c r="D7" s="4">
        <v>0.66800000000000004</v>
      </c>
      <c r="E7" s="4">
        <f>(8759*100/13000)%</f>
        <v>0.67376923076923079</v>
      </c>
      <c r="G7" s="1"/>
      <c r="H7" s="2">
        <v>0.1</v>
      </c>
      <c r="I7" s="4">
        <v>0.61199999999999999</v>
      </c>
      <c r="J7" s="4">
        <v>0.63100000000000001</v>
      </c>
      <c r="K7" s="4">
        <v>0.81399999999999995</v>
      </c>
      <c r="L7" s="4">
        <v>0.82499999999999996</v>
      </c>
      <c r="O7" s="1"/>
      <c r="P7" s="1">
        <v>0.1</v>
      </c>
      <c r="Q7" s="1">
        <v>0.65790000000000004</v>
      </c>
      <c r="R7" s="1">
        <v>0.85790000000000011</v>
      </c>
    </row>
    <row r="14" spans="1:21" x14ac:dyDescent="0.3">
      <c r="B14" t="s">
        <v>21</v>
      </c>
      <c r="C14" t="s">
        <v>11</v>
      </c>
      <c r="D14" t="s">
        <v>10</v>
      </c>
      <c r="E14" t="s">
        <v>11</v>
      </c>
      <c r="R14" t="s">
        <v>21</v>
      </c>
      <c r="S14" t="s">
        <v>11</v>
      </c>
      <c r="T14" t="s">
        <v>10</v>
      </c>
      <c r="U14" t="s">
        <v>11</v>
      </c>
    </row>
    <row r="15" spans="1:21" x14ac:dyDescent="0.3">
      <c r="B15" t="s">
        <v>24</v>
      </c>
      <c r="C15" t="s">
        <v>24</v>
      </c>
      <c r="D15" t="s">
        <v>12</v>
      </c>
      <c r="E15" t="s">
        <v>12</v>
      </c>
      <c r="R15" t="s">
        <v>6</v>
      </c>
      <c r="S15" t="s">
        <v>6</v>
      </c>
      <c r="T15" t="s">
        <v>6</v>
      </c>
      <c r="U15" t="s">
        <v>6</v>
      </c>
    </row>
    <row r="16" spans="1:21" x14ac:dyDescent="0.3">
      <c r="A16" s="2">
        <v>1</v>
      </c>
      <c r="B16" s="4">
        <v>0.48099999999999998</v>
      </c>
      <c r="C16" s="4">
        <f>(6903*100/13000)%</f>
        <v>0.53100000000000003</v>
      </c>
      <c r="D16" s="4">
        <v>0.77600000000000002</v>
      </c>
      <c r="E16" s="4">
        <v>0.80800000000000005</v>
      </c>
      <c r="Q16" s="2">
        <v>1</v>
      </c>
      <c r="R16" s="4">
        <v>0.79900000000000004</v>
      </c>
      <c r="S16" s="4">
        <f>(10708*100/13000)%</f>
        <v>0.82369230769230772</v>
      </c>
      <c r="T16" s="4">
        <v>0.91200000000000003</v>
      </c>
      <c r="U16" s="4">
        <v>0.92500000000000004</v>
      </c>
    </row>
    <row r="17" spans="1:21" x14ac:dyDescent="0.3">
      <c r="A17" s="2">
        <v>0.75</v>
      </c>
      <c r="B17" s="4">
        <v>0.47399999999999998</v>
      </c>
      <c r="C17" s="4">
        <f>(6382*100/13000)%</f>
        <v>0.49092307692307691</v>
      </c>
      <c r="D17" s="4">
        <v>0.76600000000000001</v>
      </c>
      <c r="E17" s="5">
        <v>0.77700000000000002</v>
      </c>
      <c r="Q17" s="2">
        <v>0.75</v>
      </c>
      <c r="R17" s="4">
        <v>0.78900000000000003</v>
      </c>
      <c r="S17" s="4">
        <f>(10199*100/13000)%</f>
        <v>0.78453846153846163</v>
      </c>
      <c r="T17" s="4">
        <v>0.90800000000000003</v>
      </c>
      <c r="U17" s="5">
        <v>0.91</v>
      </c>
    </row>
    <row r="18" spans="1:21" x14ac:dyDescent="0.3">
      <c r="A18" s="2">
        <v>0.5</v>
      </c>
      <c r="B18" s="4">
        <v>0.47199999999999998</v>
      </c>
      <c r="C18" s="4">
        <f>(6308*100/13000)%</f>
        <v>0.48523076923076919</v>
      </c>
      <c r="D18" s="4">
        <v>0.74199999999999999</v>
      </c>
      <c r="E18" s="4">
        <v>0.76300000000000001</v>
      </c>
      <c r="Q18" s="2">
        <v>0.5</v>
      </c>
      <c r="R18" s="4">
        <v>0.77800000000000002</v>
      </c>
      <c r="S18" s="4">
        <f>(10122*100/13000)%</f>
        <v>0.7786153846153846</v>
      </c>
      <c r="T18" s="4">
        <v>0.90700000000000003</v>
      </c>
      <c r="U18" s="4">
        <v>0.90700000000000003</v>
      </c>
    </row>
    <row r="19" spans="1:21" x14ac:dyDescent="0.3">
      <c r="A19" s="2">
        <v>0.25</v>
      </c>
      <c r="B19" s="4">
        <v>0.46100000000000002</v>
      </c>
      <c r="C19" s="4">
        <f>(6115*100/13000)%</f>
        <v>0.4703846153846154</v>
      </c>
      <c r="D19" s="4">
        <v>0.69899999999999995</v>
      </c>
      <c r="E19" s="4">
        <v>0.72599999999999998</v>
      </c>
      <c r="Q19" s="2">
        <v>0.25</v>
      </c>
      <c r="R19" s="4">
        <v>0.749</v>
      </c>
      <c r="S19" s="4">
        <f>(9843*100/13000)%</f>
        <v>0.75715384615384618</v>
      </c>
      <c r="T19" s="4">
        <v>0.88</v>
      </c>
      <c r="U19" s="4">
        <v>0.88100000000000001</v>
      </c>
    </row>
    <row r="20" spans="1:21" x14ac:dyDescent="0.3">
      <c r="A20" s="2">
        <v>0.1</v>
      </c>
      <c r="B20" s="4">
        <v>0.41599999999999998</v>
      </c>
      <c r="C20" s="4">
        <f>(5358*100/13000)%</f>
        <v>0.41215384615384615</v>
      </c>
      <c r="D20" s="4">
        <v>0.61199999999999999</v>
      </c>
      <c r="E20" s="4">
        <v>0.63100000000000001</v>
      </c>
      <c r="Q20" s="2">
        <v>0.1</v>
      </c>
      <c r="R20" s="4">
        <v>0.66800000000000004</v>
      </c>
      <c r="S20" s="4">
        <f>(8759*100/13000)%</f>
        <v>0.67376923076923079</v>
      </c>
      <c r="T20" s="4">
        <v>0.81399999999999995</v>
      </c>
      <c r="U20" s="4">
        <v>0.82499999999999996</v>
      </c>
    </row>
    <row r="23" spans="1:21" x14ac:dyDescent="0.3">
      <c r="B23" t="s">
        <v>21</v>
      </c>
      <c r="C23" t="s">
        <v>11</v>
      </c>
      <c r="D23" t="s">
        <v>10</v>
      </c>
      <c r="E23" t="s">
        <v>11</v>
      </c>
    </row>
    <row r="24" spans="1:21" x14ac:dyDescent="0.3">
      <c r="B24" t="s">
        <v>6</v>
      </c>
      <c r="C24" t="s">
        <v>6</v>
      </c>
      <c r="D24" t="s">
        <v>6</v>
      </c>
      <c r="E24" t="s">
        <v>6</v>
      </c>
    </row>
    <row r="25" spans="1:21" x14ac:dyDescent="0.3">
      <c r="A25" s="2">
        <v>1</v>
      </c>
      <c r="B25" s="4">
        <v>0.79900000000000004</v>
      </c>
      <c r="C25" s="4">
        <f>(10708*100/13000)%</f>
        <v>0.82369230769230772</v>
      </c>
      <c r="D25" s="4">
        <v>0.91200000000000003</v>
      </c>
      <c r="E25" s="4">
        <v>0.92500000000000004</v>
      </c>
    </row>
    <row r="26" spans="1:21" x14ac:dyDescent="0.3">
      <c r="A26" s="2">
        <v>0.75</v>
      </c>
      <c r="B26" s="4">
        <v>0.78900000000000003</v>
      </c>
      <c r="C26" s="4">
        <f>(10199*100/13000)%</f>
        <v>0.78453846153846163</v>
      </c>
      <c r="D26" s="4">
        <v>0.90800000000000003</v>
      </c>
      <c r="E26" s="5">
        <v>0.91</v>
      </c>
    </row>
    <row r="27" spans="1:21" x14ac:dyDescent="0.3">
      <c r="A27" s="2">
        <v>0.5</v>
      </c>
      <c r="B27" s="4">
        <v>0.77800000000000002</v>
      </c>
      <c r="C27" s="4">
        <f>(10122*100/13000)%</f>
        <v>0.7786153846153846</v>
      </c>
      <c r="D27" s="4">
        <v>0.90700000000000003</v>
      </c>
      <c r="E27" s="4">
        <v>0.90700000000000003</v>
      </c>
    </row>
    <row r="28" spans="1:21" x14ac:dyDescent="0.3">
      <c r="A28" s="2">
        <v>0.25</v>
      </c>
      <c r="B28" s="4">
        <v>0.749</v>
      </c>
      <c r="C28" s="4">
        <f>(9843*100/13000)%</f>
        <v>0.75715384615384618</v>
      </c>
      <c r="D28" s="4">
        <v>0.88</v>
      </c>
      <c r="E28" s="4">
        <v>0.88100000000000001</v>
      </c>
    </row>
    <row r="29" spans="1:21" x14ac:dyDescent="0.3">
      <c r="A29" s="2">
        <v>0.1</v>
      </c>
      <c r="B29" s="4">
        <v>0.66800000000000004</v>
      </c>
      <c r="C29" s="4">
        <f>(8759*100/13000)%</f>
        <v>0.67376923076923079</v>
      </c>
      <c r="D29" s="4">
        <v>0.81399999999999995</v>
      </c>
      <c r="E29" s="4">
        <v>0.82499999999999996</v>
      </c>
    </row>
  </sheetData>
  <mergeCells count="1">
    <mergeCell ref="Q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9ABA-F522-4BC9-8964-2158AFBCA59A}">
  <dimension ref="A1:AC30"/>
  <sheetViews>
    <sheetView topLeftCell="I7" zoomScale="66" zoomScaleNormal="66" workbookViewId="0">
      <selection activeCell="AB42" sqref="AB42"/>
    </sheetView>
  </sheetViews>
  <sheetFormatPr defaultRowHeight="14.4" x14ac:dyDescent="0.3"/>
  <cols>
    <col min="12" max="12" width="9.88671875" bestFit="1" customWidth="1"/>
  </cols>
  <sheetData>
    <row r="1" spans="1:29" x14ac:dyDescent="0.3">
      <c r="B1" t="s">
        <v>7</v>
      </c>
      <c r="L1" t="s">
        <v>8</v>
      </c>
      <c r="V1" t="s">
        <v>35</v>
      </c>
    </row>
    <row r="2" spans="1:29" x14ac:dyDescent="0.3">
      <c r="B2" t="s">
        <v>32</v>
      </c>
      <c r="C2" t="s">
        <v>29</v>
      </c>
      <c r="D2" t="s">
        <v>30</v>
      </c>
      <c r="E2" t="s">
        <v>30</v>
      </c>
      <c r="F2" t="s">
        <v>0</v>
      </c>
      <c r="G2" t="s">
        <v>0</v>
      </c>
      <c r="H2" t="s">
        <v>34</v>
      </c>
      <c r="I2" t="s">
        <v>34</v>
      </c>
      <c r="L2" t="s">
        <v>32</v>
      </c>
      <c r="M2" t="s">
        <v>29</v>
      </c>
      <c r="N2" t="s">
        <v>30</v>
      </c>
      <c r="O2" t="s">
        <v>30</v>
      </c>
      <c r="P2" t="s">
        <v>0</v>
      </c>
      <c r="Q2" t="s">
        <v>0</v>
      </c>
      <c r="R2" t="s">
        <v>34</v>
      </c>
      <c r="S2" t="s">
        <v>34</v>
      </c>
      <c r="V2" t="s">
        <v>32</v>
      </c>
      <c r="W2" t="s">
        <v>29</v>
      </c>
      <c r="X2" t="s">
        <v>30</v>
      </c>
      <c r="Y2" t="s">
        <v>30</v>
      </c>
      <c r="Z2" t="s">
        <v>0</v>
      </c>
      <c r="AA2" t="s">
        <v>0</v>
      </c>
      <c r="AB2" t="s">
        <v>34</v>
      </c>
      <c r="AC2" t="s">
        <v>34</v>
      </c>
    </row>
    <row r="3" spans="1:29" x14ac:dyDescent="0.3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  <c r="R3" t="s">
        <v>5</v>
      </c>
      <c r="S3" t="s">
        <v>6</v>
      </c>
      <c r="V3" t="s">
        <v>5</v>
      </c>
      <c r="W3" t="s">
        <v>6</v>
      </c>
      <c r="X3" t="s">
        <v>5</v>
      </c>
      <c r="Y3" t="s">
        <v>6</v>
      </c>
      <c r="Z3" t="s">
        <v>5</v>
      </c>
      <c r="AA3" t="s">
        <v>6</v>
      </c>
      <c r="AB3" t="s">
        <v>5</v>
      </c>
      <c r="AC3" t="s">
        <v>6</v>
      </c>
    </row>
    <row r="4" spans="1:29" x14ac:dyDescent="0.3">
      <c r="A4" s="2">
        <v>1</v>
      </c>
      <c r="B4" s="1">
        <v>0.48076923076923078</v>
      </c>
      <c r="C4" s="1">
        <v>0.75</v>
      </c>
      <c r="D4" s="1">
        <v>0.73962264150943391</v>
      </c>
      <c r="E4" s="1">
        <v>0.89308176100628933</v>
      </c>
      <c r="F4" s="1">
        <v>0.48899999999999999</v>
      </c>
      <c r="G4" s="1">
        <v>0.74299999999999999</v>
      </c>
      <c r="H4" s="1">
        <v>0.71599999999999997</v>
      </c>
      <c r="I4" s="1">
        <v>0.88800000000000001</v>
      </c>
      <c r="K4" s="2">
        <v>1</v>
      </c>
      <c r="L4" s="1">
        <v>0.48076923076923078</v>
      </c>
      <c r="M4" s="1">
        <v>0.79807692307692313</v>
      </c>
      <c r="N4" s="1">
        <v>0.74591194968553454</v>
      </c>
      <c r="O4" s="1">
        <v>0.91698113207547172</v>
      </c>
      <c r="P4" s="1">
        <v>0.52200000000000002</v>
      </c>
      <c r="Q4" s="1">
        <v>0.80800000000000005</v>
      </c>
      <c r="R4" s="1">
        <v>0.754</v>
      </c>
      <c r="S4" s="1">
        <v>0.91600000000000004</v>
      </c>
      <c r="U4" s="2">
        <v>1</v>
      </c>
      <c r="V4" s="1">
        <v>0.47115384615384615</v>
      </c>
      <c r="W4" s="1">
        <v>0.73717948717948723</v>
      </c>
      <c r="X4" s="1">
        <v>0.72955974842767291</v>
      </c>
      <c r="Y4" s="1">
        <v>0.88930817610062896</v>
      </c>
      <c r="Z4" s="1">
        <v>0.48799999999999999</v>
      </c>
      <c r="AA4" s="1">
        <v>0.76100000000000001</v>
      </c>
      <c r="AB4" s="1">
        <v>0.71499999999999997</v>
      </c>
      <c r="AC4" s="1">
        <v>0.89200000000000002</v>
      </c>
    </row>
    <row r="5" spans="1:29" x14ac:dyDescent="0.3">
      <c r="A5" s="2">
        <v>0.75</v>
      </c>
      <c r="B5" s="1">
        <v>0.47435897435897434</v>
      </c>
      <c r="C5" s="1">
        <v>0.74679487179487181</v>
      </c>
      <c r="D5" s="1">
        <v>0.72704402515723265</v>
      </c>
      <c r="E5" s="1">
        <v>0.88553459119496858</v>
      </c>
      <c r="F5" s="1">
        <v>0.48899999999999999</v>
      </c>
      <c r="G5" s="1">
        <v>0.746</v>
      </c>
      <c r="H5" s="1">
        <v>0.71599999999999997</v>
      </c>
      <c r="I5" s="1">
        <v>0.88300000000000001</v>
      </c>
      <c r="K5" s="2">
        <v>0.75</v>
      </c>
      <c r="L5" s="1">
        <v>0.50641025641025639</v>
      </c>
      <c r="M5" s="1">
        <v>0.79487179487179482</v>
      </c>
      <c r="N5" s="1">
        <v>0.76226415094339628</v>
      </c>
      <c r="O5" s="1">
        <v>0.91572327044025159</v>
      </c>
      <c r="P5" s="1">
        <v>0.51400000000000001</v>
      </c>
      <c r="Q5" s="1">
        <v>0.80700000000000005</v>
      </c>
      <c r="R5" s="1">
        <v>0.745</v>
      </c>
      <c r="S5" s="1">
        <v>0.91400000000000003</v>
      </c>
      <c r="U5" s="2">
        <v>0.75</v>
      </c>
      <c r="V5" s="1">
        <v>0.46153846153846156</v>
      </c>
      <c r="W5" s="1">
        <v>0.75641025641025639</v>
      </c>
      <c r="X5" s="1">
        <v>0.72075471698113203</v>
      </c>
      <c r="Y5" s="1">
        <v>0.89308176100628933</v>
      </c>
      <c r="Z5" s="1">
        <v>0.47799999999999998</v>
      </c>
      <c r="AA5" s="1">
        <v>0.76100000000000001</v>
      </c>
      <c r="AB5" s="1">
        <v>0.70799999999999996</v>
      </c>
      <c r="AC5" s="1">
        <v>0.88800000000000001</v>
      </c>
    </row>
    <row r="6" spans="1:29" x14ac:dyDescent="0.3">
      <c r="A6" s="2">
        <v>0.5</v>
      </c>
      <c r="B6" s="1">
        <v>0.48076923076923078</v>
      </c>
      <c r="C6" s="1">
        <v>0.73717948717948723</v>
      </c>
      <c r="D6" s="1">
        <v>0.72704402515723265</v>
      </c>
      <c r="E6" s="1">
        <v>0.88050314465408808</v>
      </c>
      <c r="F6" s="1">
        <v>0.49</v>
      </c>
      <c r="G6" s="1">
        <v>0.73</v>
      </c>
      <c r="H6" s="1">
        <v>0.71</v>
      </c>
      <c r="I6" s="1">
        <v>0.875</v>
      </c>
      <c r="K6" s="2">
        <v>0.5</v>
      </c>
      <c r="L6" s="1">
        <v>0.52564102564102566</v>
      </c>
      <c r="M6" s="1">
        <v>0.80769230769230771</v>
      </c>
      <c r="N6" s="1">
        <v>0.76226415094339628</v>
      </c>
      <c r="O6" s="1">
        <v>0.92075471698113209</v>
      </c>
      <c r="P6" s="1">
        <v>0.51</v>
      </c>
      <c r="Q6" s="1">
        <v>0.78800000000000003</v>
      </c>
      <c r="R6" s="1">
        <v>0.747</v>
      </c>
      <c r="S6" s="1">
        <v>0.90900000000000003</v>
      </c>
      <c r="U6" s="2">
        <v>0.5</v>
      </c>
      <c r="V6" s="1">
        <v>0.46474358974358976</v>
      </c>
      <c r="W6" s="1">
        <v>0.73397435897435892</v>
      </c>
      <c r="X6" s="1">
        <v>0.69820000000000004</v>
      </c>
      <c r="Y6" s="1">
        <v>0.86170000000000002</v>
      </c>
      <c r="Z6" s="1">
        <v>0.46</v>
      </c>
      <c r="AA6" s="1">
        <v>0.73599999999999999</v>
      </c>
      <c r="AB6" s="1">
        <v>0.67900000000000005</v>
      </c>
      <c r="AC6" s="1">
        <v>0.872</v>
      </c>
    </row>
    <row r="7" spans="1:29" x14ac:dyDescent="0.3">
      <c r="A7" s="2">
        <v>0.25</v>
      </c>
      <c r="B7" s="1">
        <v>0.48717948717948717</v>
      </c>
      <c r="C7" s="1">
        <v>0.74358974358974361</v>
      </c>
      <c r="D7" s="1">
        <v>0.69811320754716977</v>
      </c>
      <c r="E7" s="1">
        <v>0.87295597484276732</v>
      </c>
      <c r="F7" s="1">
        <v>0.45400000000000001</v>
      </c>
      <c r="G7" s="1">
        <v>0.70899999999999996</v>
      </c>
      <c r="H7" s="1">
        <v>0.66400000000000003</v>
      </c>
      <c r="I7" s="1">
        <v>0.86099999999999999</v>
      </c>
      <c r="K7" s="2">
        <v>0.25</v>
      </c>
      <c r="L7" s="1">
        <v>0.51923076923076927</v>
      </c>
      <c r="M7" s="1">
        <v>0.78205128205128205</v>
      </c>
      <c r="N7" s="1">
        <v>0.74716981132075466</v>
      </c>
      <c r="O7" s="1">
        <v>0.90817610062893084</v>
      </c>
      <c r="P7" s="1">
        <v>0.48899999999999999</v>
      </c>
      <c r="Q7" s="1">
        <v>0.77400000000000002</v>
      </c>
      <c r="R7" s="1">
        <v>0.72499999999999998</v>
      </c>
      <c r="S7" s="1">
        <v>0.9</v>
      </c>
      <c r="U7" s="2">
        <v>0.25</v>
      </c>
      <c r="V7" s="1">
        <v>0.44230769230769229</v>
      </c>
      <c r="W7" s="1">
        <v>0.71153846153846156</v>
      </c>
      <c r="X7" s="1">
        <v>0.61260000000000003</v>
      </c>
      <c r="Y7" s="1">
        <v>0.80130000000000001</v>
      </c>
      <c r="Z7" s="1">
        <v>0.40500000000000003</v>
      </c>
      <c r="AA7" s="1">
        <v>0.67100000000000004</v>
      </c>
      <c r="AB7" s="1">
        <v>0.59799999999999998</v>
      </c>
      <c r="AC7" s="1">
        <v>0.81799999999999995</v>
      </c>
    </row>
    <row r="8" spans="1:29" x14ac:dyDescent="0.3">
      <c r="A8" s="2">
        <v>0.1</v>
      </c>
      <c r="B8" s="1">
        <v>0.40064102564102566</v>
      </c>
      <c r="C8" s="1">
        <v>0.64743589743589747</v>
      </c>
      <c r="D8" s="1">
        <v>0.54465408805031446</v>
      </c>
      <c r="E8" s="1">
        <v>0.77484276729559753</v>
      </c>
      <c r="F8" s="1">
        <v>0.29399999999999998</v>
      </c>
      <c r="G8" s="1">
        <v>0.53</v>
      </c>
      <c r="H8" s="1">
        <v>0.434</v>
      </c>
      <c r="I8" s="1">
        <v>0.65800000000000003</v>
      </c>
      <c r="K8" s="2">
        <v>0.1</v>
      </c>
      <c r="L8" s="1">
        <v>0.42307692307692307</v>
      </c>
      <c r="M8" s="1">
        <v>0.71794871794871795</v>
      </c>
      <c r="N8" s="1">
        <v>0.64654088050314462</v>
      </c>
      <c r="O8" s="1">
        <v>0.84402515723270444</v>
      </c>
      <c r="P8" s="1">
        <v>0.40899999999999997</v>
      </c>
      <c r="Q8" s="1">
        <v>0.65600000000000003</v>
      </c>
      <c r="R8" s="1">
        <v>0.6</v>
      </c>
      <c r="S8" s="1">
        <v>0.78800000000000003</v>
      </c>
      <c r="U8" s="2">
        <v>0.1</v>
      </c>
      <c r="V8" s="1">
        <v>0.32692307692307693</v>
      </c>
      <c r="W8" s="1">
        <v>0.58653846153846156</v>
      </c>
      <c r="X8" s="1">
        <v>0.41389999999999999</v>
      </c>
      <c r="Y8" s="1">
        <v>0.61770000000000003</v>
      </c>
      <c r="Z8" s="1">
        <v>0.25800000000000001</v>
      </c>
      <c r="AA8" s="1">
        <v>0.48099999999999998</v>
      </c>
      <c r="AB8" s="1">
        <v>0.376</v>
      </c>
      <c r="AC8" s="1">
        <v>0.58699999999999997</v>
      </c>
    </row>
    <row r="14" spans="1:29" x14ac:dyDescent="0.3">
      <c r="B14" t="s">
        <v>0</v>
      </c>
      <c r="H14" t="s">
        <v>34</v>
      </c>
    </row>
    <row r="15" spans="1:29" x14ac:dyDescent="0.3">
      <c r="B15" t="s">
        <v>7</v>
      </c>
      <c r="C15" t="s">
        <v>8</v>
      </c>
      <c r="D15" t="s">
        <v>9</v>
      </c>
      <c r="E15" t="s">
        <v>4</v>
      </c>
      <c r="H15" t="s">
        <v>7</v>
      </c>
      <c r="I15" t="s">
        <v>8</v>
      </c>
      <c r="J15" t="s">
        <v>9</v>
      </c>
      <c r="K15" t="s">
        <v>4</v>
      </c>
    </row>
    <row r="16" spans="1:29" x14ac:dyDescent="0.3">
      <c r="A16" s="2">
        <v>1</v>
      </c>
      <c r="B16" s="1">
        <v>0.48899999999999999</v>
      </c>
      <c r="C16" s="1">
        <v>0.52200000000000002</v>
      </c>
      <c r="D16" s="1">
        <v>0.48799999999999999</v>
      </c>
      <c r="E16" s="1">
        <v>0.48099999999999998</v>
      </c>
      <c r="G16" s="2">
        <v>1</v>
      </c>
      <c r="H16" s="1">
        <v>0.71599999999999997</v>
      </c>
      <c r="I16" s="1">
        <v>0.754</v>
      </c>
      <c r="J16" s="1">
        <v>0.71499999999999997</v>
      </c>
      <c r="K16" s="1">
        <v>0.77600000000000002</v>
      </c>
    </row>
    <row r="17" spans="1:11" x14ac:dyDescent="0.3">
      <c r="A17" s="2">
        <v>0.75</v>
      </c>
      <c r="B17" s="1">
        <v>0.48899999999999999</v>
      </c>
      <c r="C17" s="1">
        <v>0.51400000000000001</v>
      </c>
      <c r="D17" s="1">
        <v>0.47799999999999998</v>
      </c>
      <c r="E17" s="1">
        <v>0.47399999999999998</v>
      </c>
      <c r="G17" s="2">
        <v>0.75</v>
      </c>
      <c r="H17" s="1">
        <v>0.71599999999999997</v>
      </c>
      <c r="I17" s="1">
        <v>0.745</v>
      </c>
      <c r="J17" s="1">
        <v>0.70799999999999996</v>
      </c>
      <c r="K17" s="1">
        <v>0.76600000000000001</v>
      </c>
    </row>
    <row r="18" spans="1:11" x14ac:dyDescent="0.3">
      <c r="A18" s="2">
        <v>0.5</v>
      </c>
      <c r="B18" s="1">
        <v>0.49</v>
      </c>
      <c r="C18" s="1">
        <v>0.51</v>
      </c>
      <c r="D18" s="1">
        <v>0.46</v>
      </c>
      <c r="E18" s="1">
        <v>0.47199999999999998</v>
      </c>
      <c r="G18" s="2">
        <v>0.5</v>
      </c>
      <c r="H18" s="1">
        <v>0.71</v>
      </c>
      <c r="I18" s="1">
        <v>0.747</v>
      </c>
      <c r="J18" s="1">
        <v>0.67900000000000005</v>
      </c>
      <c r="K18" s="1">
        <v>0.74199999999999999</v>
      </c>
    </row>
    <row r="19" spans="1:11" x14ac:dyDescent="0.3">
      <c r="A19" s="2">
        <v>0.25</v>
      </c>
      <c r="B19" s="1">
        <v>0.45400000000000001</v>
      </c>
      <c r="C19" s="1">
        <v>0.48899999999999999</v>
      </c>
      <c r="D19" s="1">
        <v>0.40500000000000003</v>
      </c>
      <c r="E19" s="1">
        <v>0.46100000000000002</v>
      </c>
      <c r="G19" s="2">
        <v>0.25</v>
      </c>
      <c r="H19" s="1">
        <v>0.66400000000000003</v>
      </c>
      <c r="I19" s="1">
        <v>0.72499999999999998</v>
      </c>
      <c r="J19" s="1">
        <v>0.59799999999999998</v>
      </c>
      <c r="K19" s="1">
        <v>0.69899999999999995</v>
      </c>
    </row>
    <row r="20" spans="1:11" x14ac:dyDescent="0.3">
      <c r="A20" s="2">
        <v>0.1</v>
      </c>
      <c r="B20" s="1">
        <v>0.29399999999999998</v>
      </c>
      <c r="C20" s="1">
        <v>0.40899999999999997</v>
      </c>
      <c r="D20" s="1">
        <v>0.25800000000000001</v>
      </c>
      <c r="E20" s="1">
        <v>0.41599999999999998</v>
      </c>
      <c r="G20" s="2">
        <v>0.1</v>
      </c>
      <c r="H20" s="1">
        <v>0.434</v>
      </c>
      <c r="I20" s="1">
        <v>0.6</v>
      </c>
      <c r="J20" s="1">
        <v>0.376</v>
      </c>
      <c r="K20" s="1">
        <v>0.61199999999999999</v>
      </c>
    </row>
    <row r="24" spans="1:11" x14ac:dyDescent="0.3">
      <c r="B24" t="s">
        <v>4</v>
      </c>
    </row>
    <row r="25" spans="1:11" x14ac:dyDescent="0.3">
      <c r="B25" t="s">
        <v>0</v>
      </c>
      <c r="C25" t="s">
        <v>34</v>
      </c>
    </row>
    <row r="26" spans="1:11" x14ac:dyDescent="0.3">
      <c r="A26" s="2">
        <v>1</v>
      </c>
      <c r="B26" s="4">
        <v>0.48099999999999998</v>
      </c>
      <c r="C26" s="4">
        <v>0.77600000000000002</v>
      </c>
    </row>
    <row r="27" spans="1:11" x14ac:dyDescent="0.3">
      <c r="A27" s="2">
        <v>0.75</v>
      </c>
      <c r="B27" s="4">
        <v>0.47399999999999998</v>
      </c>
      <c r="C27" s="4">
        <v>0.76600000000000001</v>
      </c>
    </row>
    <row r="28" spans="1:11" x14ac:dyDescent="0.3">
      <c r="A28" s="2">
        <v>0.5</v>
      </c>
      <c r="B28" s="4">
        <v>0.47199999999999998</v>
      </c>
      <c r="C28" s="4">
        <v>0.74199999999999999</v>
      </c>
    </row>
    <row r="29" spans="1:11" x14ac:dyDescent="0.3">
      <c r="A29" s="2">
        <v>0.25</v>
      </c>
      <c r="B29" s="4">
        <v>0.46100000000000002</v>
      </c>
      <c r="C29" s="4">
        <v>0.69899999999999995</v>
      </c>
    </row>
    <row r="30" spans="1:11" x14ac:dyDescent="0.3">
      <c r="A30" s="2">
        <v>0.1</v>
      </c>
      <c r="B30" s="4">
        <v>0.41599999999999998</v>
      </c>
      <c r="C30" s="4">
        <v>0.61199999999999999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5E85-BA67-4276-8D5B-0CD779AE3AD2}">
  <dimension ref="A1:W52"/>
  <sheetViews>
    <sheetView tabSelected="1" topLeftCell="C78" zoomScaleNormal="100" workbookViewId="0">
      <selection activeCell="R89" sqref="R89"/>
    </sheetView>
  </sheetViews>
  <sheetFormatPr defaultRowHeight="14.4" x14ac:dyDescent="0.3"/>
  <cols>
    <col min="1" max="1" width="16.88671875" customWidth="1"/>
    <col min="2" max="5" width="11.33203125" customWidth="1"/>
  </cols>
  <sheetData>
    <row r="1" spans="1:23" x14ac:dyDescent="0.3">
      <c r="A1" t="s">
        <v>44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3" x14ac:dyDescent="0.3">
      <c r="A2" t="s">
        <v>36</v>
      </c>
      <c r="B2">
        <v>2.4300000000000002</v>
      </c>
      <c r="C2">
        <v>59.31</v>
      </c>
      <c r="D2">
        <v>73.44</v>
      </c>
      <c r="E2">
        <v>82.6</v>
      </c>
      <c r="F2">
        <v>89.64</v>
      </c>
      <c r="G2">
        <v>95.21</v>
      </c>
      <c r="H2">
        <v>100.14</v>
      </c>
      <c r="I2">
        <v>104.63</v>
      </c>
      <c r="J2">
        <v>108.61</v>
      </c>
      <c r="K2">
        <v>112.38</v>
      </c>
      <c r="L2">
        <v>115.99</v>
      </c>
      <c r="M2">
        <v>119.61</v>
      </c>
      <c r="N2">
        <v>123.22</v>
      </c>
      <c r="O2">
        <v>126.85</v>
      </c>
      <c r="P2">
        <v>130.86000000000001</v>
      </c>
      <c r="Q2">
        <v>135.41</v>
      </c>
      <c r="R2">
        <v>140.79</v>
      </c>
      <c r="S2">
        <v>147.74</v>
      </c>
      <c r="T2">
        <v>157.27000000000001</v>
      </c>
      <c r="U2">
        <v>174.17</v>
      </c>
    </row>
    <row r="3" spans="1:23" x14ac:dyDescent="0.3">
      <c r="A3" t="s">
        <v>37</v>
      </c>
      <c r="B3">
        <v>59.3</v>
      </c>
      <c r="C3">
        <v>73.44</v>
      </c>
      <c r="D3">
        <v>82.59</v>
      </c>
      <c r="E3">
        <v>89.64</v>
      </c>
      <c r="F3">
        <v>95.21</v>
      </c>
      <c r="G3">
        <v>100.14</v>
      </c>
      <c r="H3">
        <v>104.63</v>
      </c>
      <c r="I3">
        <v>108.61</v>
      </c>
      <c r="J3">
        <v>112.38</v>
      </c>
      <c r="K3">
        <v>115.99</v>
      </c>
      <c r="L3">
        <v>119.6</v>
      </c>
      <c r="M3">
        <v>123.22</v>
      </c>
      <c r="N3">
        <v>126.85</v>
      </c>
      <c r="O3">
        <v>130.86000000000001</v>
      </c>
      <c r="P3">
        <v>135.41</v>
      </c>
      <c r="Q3">
        <v>140.79</v>
      </c>
      <c r="R3">
        <v>147.74</v>
      </c>
      <c r="S3">
        <v>157.27000000000001</v>
      </c>
      <c r="T3">
        <v>174.16</v>
      </c>
      <c r="U3">
        <v>245.67</v>
      </c>
    </row>
    <row r="4" spans="1:23" x14ac:dyDescent="0.3">
      <c r="A4" t="s">
        <v>7</v>
      </c>
      <c r="B4" s="1">
        <v>0.6724</v>
      </c>
      <c r="C4" s="1">
        <v>0</v>
      </c>
      <c r="D4" s="1">
        <v>0</v>
      </c>
      <c r="E4" s="1">
        <v>0</v>
      </c>
      <c r="F4" s="1">
        <v>0</v>
      </c>
      <c r="G4" s="1">
        <v>0.70279999999999998</v>
      </c>
      <c r="H4" s="1">
        <v>0</v>
      </c>
      <c r="I4" s="1">
        <v>0</v>
      </c>
      <c r="J4" s="1">
        <v>0</v>
      </c>
      <c r="K4" s="1">
        <v>0</v>
      </c>
      <c r="L4" s="1">
        <v>0.69599999999999995</v>
      </c>
      <c r="M4" s="1">
        <v>0</v>
      </c>
      <c r="N4" s="1">
        <v>0</v>
      </c>
      <c r="O4" s="1">
        <v>0</v>
      </c>
      <c r="P4" s="1">
        <v>0</v>
      </c>
      <c r="Q4" s="1">
        <v>0.71640000000000004</v>
      </c>
      <c r="R4" s="1">
        <v>0</v>
      </c>
      <c r="S4" s="1">
        <v>0</v>
      </c>
      <c r="T4" s="1">
        <v>0</v>
      </c>
      <c r="U4" s="1">
        <v>0.68959999999999999</v>
      </c>
    </row>
    <row r="5" spans="1:23" x14ac:dyDescent="0.3">
      <c r="A5" t="s">
        <v>8</v>
      </c>
      <c r="B5" s="1">
        <v>0.1396</v>
      </c>
      <c r="C5" s="1">
        <v>0</v>
      </c>
      <c r="D5" s="1">
        <v>0</v>
      </c>
      <c r="E5" s="1">
        <v>0</v>
      </c>
      <c r="F5" s="1">
        <v>0</v>
      </c>
      <c r="G5" s="1">
        <v>0.12920000000000001</v>
      </c>
      <c r="H5" s="1">
        <v>0</v>
      </c>
      <c r="I5" s="1">
        <v>0</v>
      </c>
      <c r="J5" s="1">
        <v>0</v>
      </c>
      <c r="K5" s="1">
        <v>0</v>
      </c>
      <c r="L5" s="1">
        <v>0.13600000000000001</v>
      </c>
      <c r="M5" s="1">
        <v>0</v>
      </c>
      <c r="N5" s="1">
        <v>0</v>
      </c>
      <c r="O5" s="1">
        <v>0</v>
      </c>
      <c r="P5" s="1">
        <v>0</v>
      </c>
      <c r="Q5" s="1">
        <v>0.12559999999999999</v>
      </c>
      <c r="R5" s="1">
        <v>0</v>
      </c>
      <c r="S5" s="1">
        <v>0</v>
      </c>
      <c r="T5" s="1">
        <v>0</v>
      </c>
      <c r="U5" s="1">
        <v>0.13439999999999999</v>
      </c>
    </row>
    <row r="6" spans="1:23" x14ac:dyDescent="0.3">
      <c r="A6" t="s">
        <v>9</v>
      </c>
      <c r="B6" s="1">
        <v>4.1200000000000001E-2</v>
      </c>
      <c r="C6" s="1">
        <v>0</v>
      </c>
      <c r="D6" s="1">
        <v>0</v>
      </c>
      <c r="E6" s="1">
        <v>0</v>
      </c>
      <c r="F6" s="1">
        <v>0</v>
      </c>
      <c r="G6" s="1">
        <v>2.7199999999999998E-2</v>
      </c>
      <c r="H6" s="1">
        <v>0</v>
      </c>
      <c r="I6" s="1">
        <v>0</v>
      </c>
      <c r="J6" s="1">
        <v>0</v>
      </c>
      <c r="K6" s="1">
        <v>0</v>
      </c>
      <c r="L6" s="1">
        <v>3.44E-2</v>
      </c>
      <c r="M6" s="1">
        <v>0</v>
      </c>
      <c r="N6" s="1">
        <v>0</v>
      </c>
      <c r="O6" s="1">
        <v>0</v>
      </c>
      <c r="P6" s="1">
        <v>0</v>
      </c>
      <c r="Q6" s="1">
        <v>2.9600000000000001E-2</v>
      </c>
      <c r="R6" s="1">
        <v>0</v>
      </c>
      <c r="S6" s="1">
        <v>0</v>
      </c>
      <c r="T6" s="1">
        <v>0</v>
      </c>
      <c r="U6" s="1">
        <v>3.8800000000000001E-2</v>
      </c>
    </row>
    <row r="7" spans="1:23" x14ac:dyDescent="0.3">
      <c r="A7" t="s">
        <v>26</v>
      </c>
      <c r="B7" s="1">
        <v>0.14680000000000001</v>
      </c>
      <c r="G7" s="1">
        <v>0.14080000000000001</v>
      </c>
      <c r="L7" s="1">
        <v>0.1336</v>
      </c>
      <c r="Q7" s="1">
        <v>0.12839999999999999</v>
      </c>
      <c r="U7" s="1">
        <v>0.13719999999999999</v>
      </c>
    </row>
    <row r="8" spans="1:23" x14ac:dyDescent="0.3">
      <c r="A8" t="s">
        <v>38</v>
      </c>
      <c r="B8" s="1">
        <v>0.66839999999999999</v>
      </c>
      <c r="C8" s="1">
        <f>(170700/2500)/100</f>
        <v>0.68279999999999996</v>
      </c>
      <c r="D8" s="1">
        <f>1713/2500</f>
        <v>0.68520000000000003</v>
      </c>
      <c r="E8" s="1">
        <f>1713/2500</f>
        <v>0.68520000000000003</v>
      </c>
      <c r="F8" s="1">
        <f>1696/2500</f>
        <v>0.6784</v>
      </c>
      <c r="G8" s="1">
        <v>0.68640000000000001</v>
      </c>
      <c r="H8" s="1">
        <f>(166900/2500)/100</f>
        <v>0.66760000000000008</v>
      </c>
      <c r="I8" s="1">
        <f>1697/2500</f>
        <v>0.67879999999999996</v>
      </c>
      <c r="J8" s="1">
        <f>1691/2500</f>
        <v>0.6764</v>
      </c>
      <c r="K8" s="1">
        <f>1704/2500</f>
        <v>0.68159999999999998</v>
      </c>
      <c r="L8" s="1">
        <v>0.68159999999999998</v>
      </c>
      <c r="M8" s="1">
        <f>(170900/2500)/100</f>
        <v>0.68359999999999999</v>
      </c>
      <c r="N8" s="1">
        <f>1726/2500</f>
        <v>0.69040000000000001</v>
      </c>
      <c r="O8" s="1">
        <f>1704/2500</f>
        <v>0.68159999999999998</v>
      </c>
      <c r="P8" s="1">
        <f>1745/2500</f>
        <v>0.69799999999999995</v>
      </c>
      <c r="Q8" s="1">
        <v>0.69479999999999997</v>
      </c>
      <c r="R8" s="1">
        <f>(175400/2500)/100</f>
        <v>0.7016</v>
      </c>
      <c r="S8" s="1">
        <f>1805/2500</f>
        <v>0.72199999999999998</v>
      </c>
      <c r="T8" s="1">
        <f>(171100/2500)/100</f>
        <v>0.68440000000000001</v>
      </c>
      <c r="U8" s="1">
        <v>0.69840000000000002</v>
      </c>
      <c r="V8" s="1">
        <f>MIN(B8:U8)</f>
        <v>0.66760000000000008</v>
      </c>
      <c r="W8">
        <v>7</v>
      </c>
    </row>
    <row r="9" spans="1:23" x14ac:dyDescent="0.3">
      <c r="A9" t="s">
        <v>39</v>
      </c>
      <c r="B9" s="1">
        <v>0.87160000000000004</v>
      </c>
      <c r="C9" s="1">
        <f>(217600/2500)/100</f>
        <v>0.87040000000000006</v>
      </c>
      <c r="D9" s="1">
        <f>2188/2500</f>
        <v>0.87519999999999998</v>
      </c>
      <c r="E9" s="1">
        <f>2169/2500</f>
        <v>0.86760000000000004</v>
      </c>
      <c r="F9" s="1">
        <f>2189/2500</f>
        <v>0.87560000000000004</v>
      </c>
      <c r="G9" s="1">
        <v>0.87360000000000004</v>
      </c>
      <c r="H9" s="1">
        <f>(217400/2500)/100</f>
        <v>0.86959999999999993</v>
      </c>
      <c r="I9" s="1">
        <f>2200/2500</f>
        <v>0.88</v>
      </c>
      <c r="J9" s="1">
        <f>2170/2500</f>
        <v>0.86799999999999999</v>
      </c>
      <c r="K9" s="1">
        <f>2199/2500</f>
        <v>0.87960000000000005</v>
      </c>
      <c r="L9" s="1">
        <v>0.87560000000000004</v>
      </c>
      <c r="M9" s="1">
        <f>(218900/2500)/100</f>
        <v>0.87560000000000004</v>
      </c>
      <c r="N9" s="1">
        <f>2225/2500</f>
        <v>0.89</v>
      </c>
      <c r="O9" s="1">
        <f>2216/2500</f>
        <v>0.88639999999999997</v>
      </c>
      <c r="P9" s="1">
        <f>2246/2500</f>
        <v>0.89839999999999998</v>
      </c>
      <c r="Q9" s="1">
        <v>0.88319999999999999</v>
      </c>
      <c r="R9" s="1">
        <f>(221800/2500)/100</f>
        <v>0.88719999999999999</v>
      </c>
      <c r="S9" s="1">
        <f>2279/2500</f>
        <v>0.91159999999999997</v>
      </c>
      <c r="T9" s="1">
        <f>(224000/2500)/100</f>
        <v>0.89599999999999991</v>
      </c>
      <c r="U9" s="1">
        <v>0.89759999999999995</v>
      </c>
      <c r="V9" s="1">
        <f t="shared" ref="V9:V13" si="0">MIN(B9:U9)</f>
        <v>0.86760000000000004</v>
      </c>
      <c r="W9">
        <v>4</v>
      </c>
    </row>
    <row r="10" spans="1:23" x14ac:dyDescent="0.3">
      <c r="A10" t="s">
        <v>40</v>
      </c>
      <c r="B10" s="1">
        <v>0.74639999999999995</v>
      </c>
      <c r="C10" s="1">
        <f>(191700/2500)/100</f>
        <v>0.76680000000000004</v>
      </c>
      <c r="D10" s="1">
        <f>1899/2500</f>
        <v>0.75960000000000005</v>
      </c>
      <c r="E10" s="1">
        <f>1922/2500</f>
        <v>0.76880000000000004</v>
      </c>
      <c r="F10" s="1">
        <f>1885/2500</f>
        <v>0.754</v>
      </c>
      <c r="G10" s="1">
        <v>0.7712</v>
      </c>
      <c r="H10" s="1">
        <f>(189000/2500)/100</f>
        <v>0.75599999999999989</v>
      </c>
      <c r="I10" s="1">
        <f>1873/2500</f>
        <v>0.74919999999999998</v>
      </c>
      <c r="J10" s="1">
        <f>1875/2500</f>
        <v>0.75</v>
      </c>
      <c r="K10" s="1">
        <f>1909/2500</f>
        <v>0.76359999999999995</v>
      </c>
      <c r="L10" s="1">
        <v>0.75719999999999998</v>
      </c>
      <c r="M10" s="1">
        <f>(188200/2500)/100</f>
        <v>0.75280000000000002</v>
      </c>
      <c r="N10" s="1">
        <f>1929/2500</f>
        <v>0.77159999999999995</v>
      </c>
      <c r="O10" s="1">
        <f>1907/2500</f>
        <v>0.76280000000000003</v>
      </c>
      <c r="P10" s="1">
        <f>1939/2500</f>
        <v>0.77559999999999996</v>
      </c>
      <c r="Q10" s="1">
        <v>0.77</v>
      </c>
      <c r="R10" s="1">
        <f>(194000/2500)/100</f>
        <v>0.77599999999999991</v>
      </c>
      <c r="S10" s="1">
        <f>1981/2500</f>
        <v>0.79239999999999999</v>
      </c>
      <c r="T10" s="1">
        <f>(189600/2500)/100</f>
        <v>0.75840000000000007</v>
      </c>
      <c r="U10" s="1">
        <v>0.76</v>
      </c>
      <c r="V10" s="1">
        <f t="shared" si="0"/>
        <v>0.74639999999999995</v>
      </c>
      <c r="W10">
        <v>1</v>
      </c>
    </row>
    <row r="11" spans="1:23" x14ac:dyDescent="0.3">
      <c r="A11" t="s">
        <v>41</v>
      </c>
      <c r="B11" s="1">
        <v>0.92120000000000002</v>
      </c>
      <c r="C11" s="1">
        <f>(230300/2500)/100</f>
        <v>0.92120000000000002</v>
      </c>
      <c r="D11" s="1">
        <f>2333/2500</f>
        <v>0.93320000000000003</v>
      </c>
      <c r="E11" s="1">
        <f>2299/2500</f>
        <v>0.91959999999999997</v>
      </c>
      <c r="F11" s="1">
        <f>2303/2500</f>
        <v>0.92120000000000002</v>
      </c>
      <c r="G11" s="1">
        <v>0.93359999999999999</v>
      </c>
      <c r="H11" s="1">
        <f>(230800/2500)/100</f>
        <v>0.92319999999999991</v>
      </c>
      <c r="I11" s="1">
        <f>2319/2500</f>
        <v>0.92759999999999998</v>
      </c>
      <c r="J11" s="1">
        <f>2311/2500</f>
        <v>0.9244</v>
      </c>
      <c r="K11" s="1">
        <f>2325/2500</f>
        <v>0.93</v>
      </c>
      <c r="L11" s="1">
        <v>0.93159999999999998</v>
      </c>
      <c r="M11" s="1">
        <f>(230200/2500)/100</f>
        <v>0.92079999999999995</v>
      </c>
      <c r="N11" s="1">
        <f>2328/2500</f>
        <v>0.93120000000000003</v>
      </c>
      <c r="O11" s="1">
        <f>2327/2500</f>
        <v>0.93079999999999996</v>
      </c>
      <c r="P11" s="1">
        <f>2331/2500</f>
        <v>0.93240000000000001</v>
      </c>
      <c r="Q11" s="1">
        <v>0.93159999999999998</v>
      </c>
      <c r="R11" s="1">
        <f>(235900/2500)/100</f>
        <v>0.94359999999999999</v>
      </c>
      <c r="S11" s="1">
        <f>2363/2500</f>
        <v>0.94520000000000004</v>
      </c>
      <c r="T11" s="1">
        <f>(231400/2500)/100</f>
        <v>0.92559999999999998</v>
      </c>
      <c r="U11" s="1">
        <v>0.93759999999999999</v>
      </c>
      <c r="V11" s="1">
        <f t="shared" si="0"/>
        <v>0.91959999999999997</v>
      </c>
      <c r="W11">
        <v>4</v>
      </c>
    </row>
    <row r="12" spans="1:23" x14ac:dyDescent="0.3">
      <c r="A12" t="s">
        <v>42</v>
      </c>
      <c r="B12" s="1">
        <v>0.69240000000000002</v>
      </c>
      <c r="C12" s="1">
        <f>(176600/2500)/100</f>
        <v>0.70640000000000003</v>
      </c>
      <c r="D12" s="1">
        <f>1749/2500</f>
        <v>0.6996</v>
      </c>
      <c r="E12" s="1">
        <f>1785/2500</f>
        <v>0.71399999999999997</v>
      </c>
      <c r="F12" s="1">
        <f>1744/2500</f>
        <v>0.6976</v>
      </c>
      <c r="G12" s="1">
        <v>0.71440000000000003</v>
      </c>
      <c r="H12" s="1">
        <f>(175500/2500)/100</f>
        <v>0.70200000000000007</v>
      </c>
      <c r="I12" s="1">
        <f>1767/2500</f>
        <v>0.70679999999999998</v>
      </c>
      <c r="J12" s="1">
        <f>1772/2500</f>
        <v>0.70879999999999999</v>
      </c>
      <c r="K12" s="1">
        <f>1784/2500</f>
        <v>0.71360000000000001</v>
      </c>
      <c r="L12" s="1">
        <v>0.71919999999999995</v>
      </c>
      <c r="M12" s="1">
        <f>(176300/2500)/100</f>
        <v>0.70519999999999994</v>
      </c>
      <c r="N12" s="1">
        <f>1826/2500</f>
        <v>0.73040000000000005</v>
      </c>
      <c r="O12" s="1">
        <f>1781/2500</f>
        <v>0.71240000000000003</v>
      </c>
      <c r="P12" s="1">
        <f>1847/2500</f>
        <v>0.73880000000000001</v>
      </c>
      <c r="Q12" s="1">
        <v>0.72560000000000002</v>
      </c>
      <c r="R12" s="1">
        <f>(180400/2500)/100</f>
        <v>0.72160000000000002</v>
      </c>
      <c r="S12" s="1">
        <f>1883/2500</f>
        <v>0.75319999999999998</v>
      </c>
      <c r="T12" s="1">
        <f>(174800/2500)/100</f>
        <v>0.69920000000000004</v>
      </c>
      <c r="U12" s="1">
        <v>0.71319999999999995</v>
      </c>
      <c r="V12" s="1">
        <f t="shared" si="0"/>
        <v>0.69240000000000002</v>
      </c>
      <c r="W12">
        <v>1</v>
      </c>
    </row>
    <row r="13" spans="1:23" x14ac:dyDescent="0.3">
      <c r="A13" t="s">
        <v>43</v>
      </c>
      <c r="B13" s="1">
        <v>0.87760000000000005</v>
      </c>
      <c r="C13" s="1">
        <f>(222700/2500)/100</f>
        <v>0.89080000000000004</v>
      </c>
      <c r="D13" s="1">
        <f>2233/2500</f>
        <v>0.89319999999999999</v>
      </c>
      <c r="E13" s="1">
        <f>2222/2500</f>
        <v>0.88880000000000003</v>
      </c>
      <c r="F13" s="1">
        <f>2226/2500</f>
        <v>0.89039999999999997</v>
      </c>
      <c r="G13" s="1">
        <v>0.89400000000000002</v>
      </c>
      <c r="H13" s="1">
        <f>(222000/2500)/100</f>
        <v>0.88800000000000001</v>
      </c>
      <c r="I13" s="1">
        <f>2248/2500</f>
        <v>0.8992</v>
      </c>
      <c r="J13" s="1">
        <f>2235/2500</f>
        <v>0.89400000000000002</v>
      </c>
      <c r="K13" s="1">
        <f>2265/2500</f>
        <v>0.90600000000000003</v>
      </c>
      <c r="L13" s="1">
        <v>0.89639999999999997</v>
      </c>
      <c r="M13" s="1">
        <f>(222500/2500)/100</f>
        <v>0.89</v>
      </c>
      <c r="N13" s="1">
        <f>2238/2500</f>
        <v>0.8952</v>
      </c>
      <c r="O13" s="1">
        <f>2283/2500</f>
        <v>0.91320000000000001</v>
      </c>
      <c r="P13" s="1">
        <f>2288/2500</f>
        <v>0.91520000000000001</v>
      </c>
      <c r="Q13" s="1">
        <v>0.90720000000000001</v>
      </c>
      <c r="R13" s="1">
        <f>(227800/2500)/100</f>
        <v>0.91120000000000001</v>
      </c>
      <c r="S13" s="1">
        <f>2301/2500</f>
        <v>0.9204</v>
      </c>
      <c r="T13" s="1">
        <f>(226400/2500)/100</f>
        <v>0.90560000000000007</v>
      </c>
      <c r="U13" s="1">
        <v>0.90639999999999998</v>
      </c>
      <c r="V13" s="1">
        <f t="shared" si="0"/>
        <v>0.87760000000000005</v>
      </c>
      <c r="W13">
        <v>1</v>
      </c>
    </row>
    <row r="14" spans="1:23" x14ac:dyDescent="0.3">
      <c r="T14" s="1"/>
    </row>
    <row r="22" spans="1:8" x14ac:dyDescent="0.3">
      <c r="B22" t="s">
        <v>48</v>
      </c>
      <c r="D22" t="s">
        <v>8</v>
      </c>
      <c r="F22" t="s">
        <v>9</v>
      </c>
      <c r="H22" t="s">
        <v>4</v>
      </c>
    </row>
    <row r="23" spans="1:8" x14ac:dyDescent="0.3"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</row>
    <row r="24" spans="1:8" x14ac:dyDescent="0.3">
      <c r="A24" t="s">
        <v>51</v>
      </c>
      <c r="B24" t="s">
        <v>5</v>
      </c>
      <c r="C24" t="s">
        <v>6</v>
      </c>
      <c r="D24" t="s">
        <v>5</v>
      </c>
      <c r="E24" t="s">
        <v>6</v>
      </c>
      <c r="F24" t="s">
        <v>5</v>
      </c>
      <c r="G24" t="s">
        <v>6</v>
      </c>
      <c r="H24" t="s">
        <v>5</v>
      </c>
    </row>
    <row r="25" spans="1:8" x14ac:dyDescent="0.3">
      <c r="A25" t="s">
        <v>47</v>
      </c>
      <c r="B25" s="1"/>
      <c r="C25" s="1"/>
      <c r="D25" s="1"/>
      <c r="E25" s="1"/>
      <c r="F25" s="1"/>
      <c r="G25" s="1"/>
    </row>
    <row r="26" spans="1:8" x14ac:dyDescent="0.3">
      <c r="A26" t="s">
        <v>54</v>
      </c>
      <c r="B26" s="1"/>
      <c r="C26" s="1"/>
      <c r="D26" s="1"/>
      <c r="E26" s="1"/>
      <c r="F26" s="1"/>
      <c r="G26" s="1"/>
    </row>
    <row r="27" spans="1:8" x14ac:dyDescent="0.3">
      <c r="A27" s="2" t="s">
        <v>52</v>
      </c>
      <c r="B27" s="1">
        <v>0.71599999999999997</v>
      </c>
      <c r="C27" s="1">
        <v>0.88800000000000001</v>
      </c>
      <c r="D27" s="1">
        <v>0.754</v>
      </c>
      <c r="E27" s="1">
        <v>0.91600000000000004</v>
      </c>
      <c r="F27" s="1">
        <v>0.71499999999999997</v>
      </c>
      <c r="G27" s="1">
        <v>0.89200000000000002</v>
      </c>
      <c r="H27" s="1">
        <v>0.77600000000000002</v>
      </c>
    </row>
    <row r="28" spans="1:8" x14ac:dyDescent="0.3">
      <c r="A28" s="2" t="s">
        <v>53</v>
      </c>
      <c r="B28" s="1">
        <v>0.71599999999999997</v>
      </c>
      <c r="C28" s="1">
        <v>0.88300000000000001</v>
      </c>
      <c r="D28" s="1">
        <v>0.745</v>
      </c>
      <c r="E28" s="1">
        <v>0.91400000000000003</v>
      </c>
      <c r="F28" s="1">
        <v>0.70799999999999996</v>
      </c>
      <c r="G28" s="1">
        <v>0.88800000000000001</v>
      </c>
      <c r="H28" s="1">
        <v>0.76600000000000001</v>
      </c>
    </row>
    <row r="29" spans="1:8" x14ac:dyDescent="0.3">
      <c r="A29" s="2" t="s">
        <v>66</v>
      </c>
      <c r="B29" s="1">
        <v>0.71</v>
      </c>
      <c r="C29" s="1">
        <v>0.875</v>
      </c>
      <c r="D29" s="1">
        <v>0.747</v>
      </c>
      <c r="E29" s="1">
        <v>0.90900000000000003</v>
      </c>
      <c r="F29" s="1">
        <v>0.67900000000000005</v>
      </c>
      <c r="G29" s="1">
        <v>0.872</v>
      </c>
      <c r="H29" s="1">
        <v>0.74199999999999999</v>
      </c>
    </row>
    <row r="30" spans="1:8" x14ac:dyDescent="0.3">
      <c r="A30" s="2" t="s">
        <v>62</v>
      </c>
      <c r="B30" s="1">
        <v>0.66400000000000003</v>
      </c>
      <c r="C30" s="1">
        <v>0.86099999999999999</v>
      </c>
      <c r="D30" s="1">
        <v>0.72499999999999998</v>
      </c>
      <c r="E30" s="1">
        <v>0.9</v>
      </c>
      <c r="F30" s="1">
        <v>0.59799999999999998</v>
      </c>
      <c r="G30" s="1">
        <v>0.81799999999999995</v>
      </c>
      <c r="H30" s="1">
        <v>0.69899999999999995</v>
      </c>
    </row>
    <row r="31" spans="1:8" x14ac:dyDescent="0.3">
      <c r="A31" s="2" t="s">
        <v>63</v>
      </c>
      <c r="B31" s="1">
        <v>0.434</v>
      </c>
      <c r="C31" s="1">
        <v>0.65800000000000003</v>
      </c>
      <c r="D31" s="1">
        <v>0.6</v>
      </c>
      <c r="E31" s="1">
        <v>0.78800000000000003</v>
      </c>
      <c r="F31" s="1">
        <v>0.376</v>
      </c>
      <c r="G31" s="1">
        <v>0.58699999999999997</v>
      </c>
      <c r="H31" s="1">
        <v>0.61199999999999999</v>
      </c>
    </row>
    <row r="33" spans="1:8" x14ac:dyDescent="0.3">
      <c r="B33" t="s">
        <v>47</v>
      </c>
      <c r="C33" t="s">
        <v>54</v>
      </c>
      <c r="D33" t="s">
        <v>45</v>
      </c>
      <c r="E33" t="s">
        <v>50</v>
      </c>
      <c r="F33" t="s">
        <v>49</v>
      </c>
      <c r="G33" t="s">
        <v>46</v>
      </c>
      <c r="H33" t="s">
        <v>46</v>
      </c>
    </row>
    <row r="34" spans="1:8" x14ac:dyDescent="0.3">
      <c r="A34" t="s">
        <v>38</v>
      </c>
      <c r="B34" s="1">
        <v>0.69840000000000002</v>
      </c>
      <c r="C34" s="1">
        <f>1745/2500</f>
        <v>0.69799999999999995</v>
      </c>
      <c r="D34" s="1">
        <v>0.68159999999999998</v>
      </c>
      <c r="E34" s="1">
        <v>0.68520000000000003</v>
      </c>
      <c r="F34" s="1">
        <v>0.68279999999999996</v>
      </c>
      <c r="G34" s="1">
        <v>0.67</v>
      </c>
      <c r="H34" s="1">
        <v>0.67500000000000004</v>
      </c>
    </row>
    <row r="35" spans="1:8" x14ac:dyDescent="0.3">
      <c r="A35" t="s">
        <v>39</v>
      </c>
      <c r="B35" s="1">
        <v>0.89759999999999995</v>
      </c>
      <c r="C35" s="1">
        <f>2246/2500</f>
        <v>0.89839999999999998</v>
      </c>
      <c r="D35" s="1">
        <v>0.87560000000000004</v>
      </c>
      <c r="E35" s="1">
        <v>0.86760000000000004</v>
      </c>
      <c r="F35" s="1">
        <v>0.87040000000000006</v>
      </c>
      <c r="G35" s="1">
        <v>0.871</v>
      </c>
      <c r="H35" s="1">
        <v>0.85499999999999998</v>
      </c>
    </row>
    <row r="36" spans="1:8" x14ac:dyDescent="0.3">
      <c r="A36" t="s">
        <v>40</v>
      </c>
      <c r="B36" s="1">
        <v>0.76</v>
      </c>
      <c r="C36" s="1">
        <f>1939/2500</f>
        <v>0.77559999999999996</v>
      </c>
      <c r="D36" s="1">
        <v>0.75719999999999998</v>
      </c>
      <c r="E36" s="1">
        <v>0.76880000000000004</v>
      </c>
      <c r="F36" s="1">
        <v>0.76680000000000004</v>
      </c>
      <c r="G36" s="1">
        <v>0.73199999999999998</v>
      </c>
      <c r="H36" s="1">
        <v>0.69</v>
      </c>
    </row>
    <row r="37" spans="1:8" x14ac:dyDescent="0.3">
      <c r="A37" t="s">
        <v>41</v>
      </c>
      <c r="B37" s="1">
        <v>0.93759999999999999</v>
      </c>
      <c r="C37" s="1">
        <f>2331/2500</f>
        <v>0.93240000000000001</v>
      </c>
      <c r="D37" s="1">
        <v>0.93159999999999998</v>
      </c>
      <c r="E37" s="1">
        <v>0.91959999999999997</v>
      </c>
      <c r="F37" s="1">
        <v>0.92120000000000002</v>
      </c>
      <c r="G37" s="1">
        <v>0.92300000000000004</v>
      </c>
      <c r="H37" s="1">
        <v>0.90500000000000003</v>
      </c>
    </row>
    <row r="38" spans="1:8" x14ac:dyDescent="0.3">
      <c r="A38" t="s">
        <v>42</v>
      </c>
      <c r="B38" s="1">
        <v>0.71319999999999995</v>
      </c>
      <c r="C38" s="1">
        <f>1847/2500</f>
        <v>0.73880000000000001</v>
      </c>
      <c r="D38" s="1">
        <v>0.71919999999999995</v>
      </c>
      <c r="E38" s="1">
        <v>0.71399999999999997</v>
      </c>
      <c r="F38" s="1">
        <v>0.70640000000000003</v>
      </c>
      <c r="G38" s="1">
        <v>0.69699999999999995</v>
      </c>
      <c r="H38" s="1">
        <v>0.67500000000000004</v>
      </c>
    </row>
    <row r="39" spans="1:8" x14ac:dyDescent="0.3">
      <c r="A39" t="s">
        <v>43</v>
      </c>
      <c r="B39" s="1">
        <v>0.90639999999999998</v>
      </c>
      <c r="C39" s="1">
        <f>2288/2500</f>
        <v>0.91520000000000001</v>
      </c>
      <c r="D39" s="1">
        <v>0.89639999999999997</v>
      </c>
      <c r="E39" s="1">
        <v>0.88880000000000003</v>
      </c>
      <c r="F39" s="1">
        <v>0.89080000000000004</v>
      </c>
      <c r="G39" s="1">
        <v>0.88800000000000001</v>
      </c>
      <c r="H39" s="1">
        <v>0.88</v>
      </c>
    </row>
    <row r="40" spans="1:8" x14ac:dyDescent="0.3">
      <c r="A40" t="s">
        <v>64</v>
      </c>
      <c r="B40" s="1">
        <f>1763/2500</f>
        <v>0.70520000000000005</v>
      </c>
      <c r="C40" s="1">
        <f>1759/2500</f>
        <v>0.7036</v>
      </c>
      <c r="D40" s="1">
        <f>1717/2500</f>
        <v>0.68679999999999997</v>
      </c>
      <c r="E40" s="1">
        <f>1739/2500</f>
        <v>0.6956</v>
      </c>
      <c r="F40" s="1">
        <f>1718/2500</f>
        <v>0.68720000000000003</v>
      </c>
      <c r="G40" s="1">
        <f>667/1000</f>
        <v>0.66700000000000004</v>
      </c>
      <c r="H40" s="1">
        <f>138/200</f>
        <v>0.69</v>
      </c>
    </row>
    <row r="41" spans="1:8" x14ac:dyDescent="0.3">
      <c r="A41" t="s">
        <v>65</v>
      </c>
      <c r="B41" s="1">
        <f>2258/2500</f>
        <v>0.9032</v>
      </c>
      <c r="C41" s="1">
        <f>2258/2500</f>
        <v>0.9032</v>
      </c>
      <c r="D41" s="1">
        <f>2200/2500</f>
        <v>0.88</v>
      </c>
      <c r="E41" s="1">
        <f>2189/2500</f>
        <v>0.87560000000000004</v>
      </c>
      <c r="F41" s="1">
        <f>2198/2500</f>
        <v>0.87919999999999998</v>
      </c>
      <c r="G41" s="1">
        <f>887/1000</f>
        <v>0.88700000000000001</v>
      </c>
      <c r="H41" s="1">
        <f>173/200</f>
        <v>0.86499999999999999</v>
      </c>
    </row>
    <row r="43" spans="1:8" x14ac:dyDescent="0.3">
      <c r="B43" t="s">
        <v>60</v>
      </c>
      <c r="D43" t="s">
        <v>61</v>
      </c>
    </row>
    <row r="46" spans="1:8" x14ac:dyDescent="0.3">
      <c r="A46">
        <v>135</v>
      </c>
      <c r="B46">
        <v>138</v>
      </c>
      <c r="C46">
        <v>135</v>
      </c>
      <c r="F46">
        <v>200</v>
      </c>
    </row>
    <row r="47" spans="1:8" x14ac:dyDescent="0.3">
      <c r="A47">
        <v>171</v>
      </c>
      <c r="B47">
        <v>181</v>
      </c>
      <c r="C47">
        <v>176</v>
      </c>
    </row>
    <row r="48" spans="1:8" x14ac:dyDescent="0.3">
      <c r="A48" t="s">
        <v>7</v>
      </c>
      <c r="B48" t="s">
        <v>8</v>
      </c>
      <c r="C48" t="s">
        <v>9</v>
      </c>
    </row>
    <row r="49" spans="1:3" x14ac:dyDescent="0.3">
      <c r="A49" s="1">
        <v>0.67500000000000004</v>
      </c>
      <c r="B49" s="1">
        <v>0.69</v>
      </c>
      <c r="C49" s="1">
        <v>0.67500000000000004</v>
      </c>
    </row>
    <row r="50" spans="1:3" x14ac:dyDescent="0.3">
      <c r="A50" s="1">
        <v>0.85499999999999998</v>
      </c>
      <c r="B50" s="1">
        <v>0.90500000000000003</v>
      </c>
      <c r="C50" s="1">
        <v>0.88</v>
      </c>
    </row>
    <row r="52" spans="1:3" x14ac:dyDescent="0.3">
      <c r="B52">
        <v>200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1732-4EDB-48CA-84A9-A4CE41CB2D2F}">
  <dimension ref="A1:N24"/>
  <sheetViews>
    <sheetView topLeftCell="A4" zoomScale="65" zoomScaleNormal="65" workbookViewId="0">
      <selection activeCell="P40" sqref="P40"/>
    </sheetView>
  </sheetViews>
  <sheetFormatPr defaultRowHeight="14.4" x14ac:dyDescent="0.3"/>
  <sheetData>
    <row r="1" spans="1:14" x14ac:dyDescent="0.3">
      <c r="A1" s="28" t="s">
        <v>5</v>
      </c>
      <c r="B1" s="28"/>
      <c r="C1" s="28"/>
      <c r="D1" s="28"/>
      <c r="E1" s="28"/>
      <c r="F1" s="28"/>
      <c r="G1" s="29"/>
      <c r="H1" s="29"/>
      <c r="I1" s="28"/>
      <c r="J1" s="28"/>
      <c r="K1" s="28"/>
      <c r="L1" s="28"/>
      <c r="M1" s="28"/>
      <c r="N1" s="28"/>
    </row>
    <row r="2" spans="1:14" x14ac:dyDescent="0.3">
      <c r="B2" s="19" t="s">
        <v>18</v>
      </c>
      <c r="C2" s="19" t="s">
        <v>18</v>
      </c>
      <c r="D2" s="19" t="s">
        <v>18</v>
      </c>
      <c r="E2" s="19" t="s">
        <v>18</v>
      </c>
      <c r="F2" s="20"/>
      <c r="G2" s="11"/>
      <c r="H2" s="11"/>
      <c r="J2" s="21" t="s">
        <v>27</v>
      </c>
      <c r="K2" s="21" t="s">
        <v>27</v>
      </c>
      <c r="L2" s="21" t="s">
        <v>27</v>
      </c>
      <c r="M2" s="21" t="s">
        <v>27</v>
      </c>
      <c r="N2" s="22"/>
    </row>
    <row r="3" spans="1:14" x14ac:dyDescent="0.3">
      <c r="A3" s="6"/>
      <c r="B3" s="12" t="s">
        <v>7</v>
      </c>
      <c r="C3" s="12" t="s">
        <v>7</v>
      </c>
      <c r="D3" s="13" t="s">
        <v>8</v>
      </c>
      <c r="E3" s="13" t="s">
        <v>8</v>
      </c>
      <c r="F3" s="16"/>
      <c r="G3" s="17"/>
      <c r="H3" s="17"/>
      <c r="I3" s="18"/>
      <c r="J3" s="12" t="s">
        <v>7</v>
      </c>
      <c r="K3" s="12" t="s">
        <v>7</v>
      </c>
      <c r="L3" s="13" t="s">
        <v>8</v>
      </c>
      <c r="M3" s="13" t="s">
        <v>8</v>
      </c>
      <c r="N3" s="6"/>
    </row>
    <row r="4" spans="1:14" x14ac:dyDescent="0.3">
      <c r="A4" s="6"/>
      <c r="B4" s="15" t="s">
        <v>13</v>
      </c>
      <c r="C4" s="14" t="s">
        <v>14</v>
      </c>
      <c r="D4" s="15" t="s">
        <v>13</v>
      </c>
      <c r="E4" s="14" t="s">
        <v>14</v>
      </c>
      <c r="F4" s="16" t="s">
        <v>28</v>
      </c>
      <c r="G4" s="17"/>
      <c r="H4" s="17"/>
      <c r="I4" s="18"/>
      <c r="J4" s="15" t="s">
        <v>13</v>
      </c>
      <c r="K4" s="14" t="s">
        <v>14</v>
      </c>
      <c r="L4" s="15" t="s">
        <v>13</v>
      </c>
      <c r="M4" s="14" t="s">
        <v>14</v>
      </c>
      <c r="N4" s="6" t="s">
        <v>28</v>
      </c>
    </row>
    <row r="5" spans="1:14" x14ac:dyDescent="0.3">
      <c r="A5" s="7">
        <v>1</v>
      </c>
      <c r="B5" s="6">
        <v>0.48</v>
      </c>
      <c r="C5" s="6">
        <v>0.74</v>
      </c>
      <c r="D5" s="6">
        <v>0.52</v>
      </c>
      <c r="E5" s="6">
        <v>0.74</v>
      </c>
      <c r="F5" s="8"/>
      <c r="G5" s="11"/>
      <c r="H5" s="11"/>
      <c r="I5" s="10">
        <v>1</v>
      </c>
      <c r="J5" s="6">
        <v>0.48</v>
      </c>
      <c r="K5" s="6">
        <v>0.72</v>
      </c>
      <c r="L5" s="6">
        <v>0.5</v>
      </c>
      <c r="M5" s="6">
        <v>0.73</v>
      </c>
      <c r="N5" s="6"/>
    </row>
    <row r="6" spans="1:14" x14ac:dyDescent="0.3">
      <c r="A6" s="7">
        <v>0.75</v>
      </c>
      <c r="B6" s="6">
        <v>0.47</v>
      </c>
      <c r="C6" s="6">
        <v>0.73</v>
      </c>
      <c r="D6" s="6">
        <v>0.52</v>
      </c>
      <c r="E6" s="6">
        <v>0.75</v>
      </c>
      <c r="F6" s="8"/>
      <c r="G6" s="11"/>
      <c r="H6" s="11"/>
      <c r="I6" s="10">
        <v>0.75</v>
      </c>
      <c r="J6" s="6">
        <v>0.49</v>
      </c>
      <c r="K6" s="6">
        <v>0.72</v>
      </c>
      <c r="L6" s="6">
        <v>0.49</v>
      </c>
      <c r="M6" s="6">
        <v>0.73</v>
      </c>
      <c r="N6" s="6"/>
    </row>
    <row r="7" spans="1:14" x14ac:dyDescent="0.3">
      <c r="A7" s="7">
        <v>0.5</v>
      </c>
      <c r="B7" s="6">
        <v>0.48</v>
      </c>
      <c r="C7" s="6">
        <v>0.73</v>
      </c>
      <c r="D7" s="6">
        <v>0.5</v>
      </c>
      <c r="E7" s="6">
        <v>0.73</v>
      </c>
      <c r="F7" s="8"/>
      <c r="G7" s="11"/>
      <c r="H7" s="11"/>
      <c r="I7" s="10">
        <v>0.5</v>
      </c>
      <c r="J7" s="6">
        <v>0.5</v>
      </c>
      <c r="K7" s="6">
        <v>0.72</v>
      </c>
      <c r="L7" s="6">
        <v>0.48</v>
      </c>
      <c r="M7" s="6">
        <v>0.71</v>
      </c>
      <c r="N7" s="6"/>
    </row>
    <row r="8" spans="1:14" x14ac:dyDescent="0.3">
      <c r="A8" s="7">
        <v>0.25</v>
      </c>
      <c r="B8" s="6">
        <v>0.49</v>
      </c>
      <c r="C8" s="6">
        <v>0.7</v>
      </c>
      <c r="D8" s="6">
        <v>0.49</v>
      </c>
      <c r="E8" s="6">
        <v>0.69</v>
      </c>
      <c r="F8" s="8"/>
      <c r="G8" s="11"/>
      <c r="H8" s="11"/>
      <c r="I8" s="10">
        <v>0.25</v>
      </c>
      <c r="J8" s="6">
        <v>0.45</v>
      </c>
      <c r="K8" s="6">
        <v>0.66</v>
      </c>
      <c r="L8" s="6">
        <v>0.45</v>
      </c>
      <c r="M8" s="6">
        <v>0.65</v>
      </c>
      <c r="N8" s="6"/>
    </row>
    <row r="9" spans="1:14" x14ac:dyDescent="0.3">
      <c r="A9" s="7">
        <v>0.1</v>
      </c>
      <c r="B9" s="6">
        <v>0.4</v>
      </c>
      <c r="C9" s="6">
        <v>0.54</v>
      </c>
      <c r="D9" s="6">
        <v>0.33</v>
      </c>
      <c r="E9" s="6">
        <v>0.44</v>
      </c>
      <c r="F9" s="8"/>
      <c r="G9" s="11"/>
      <c r="H9" s="11"/>
      <c r="I9" s="10">
        <v>0.1</v>
      </c>
      <c r="J9" s="6">
        <v>0.28000000000000003</v>
      </c>
      <c r="K9" s="6">
        <v>0.42</v>
      </c>
      <c r="L9" s="6">
        <v>0.2</v>
      </c>
      <c r="M9" s="6">
        <v>0.34</v>
      </c>
      <c r="N9" s="6"/>
    </row>
    <row r="16" spans="1:14" x14ac:dyDescent="0.3">
      <c r="A16" s="28" t="s">
        <v>6</v>
      </c>
      <c r="B16" s="28"/>
      <c r="C16" s="28"/>
      <c r="D16" s="28"/>
      <c r="E16" s="28"/>
      <c r="F16" s="28"/>
      <c r="G16" s="29"/>
      <c r="H16" s="29"/>
      <c r="I16" s="28"/>
      <c r="J16" s="28"/>
      <c r="K16" s="28"/>
      <c r="L16" s="28"/>
      <c r="M16" s="28"/>
      <c r="N16" s="28"/>
    </row>
    <row r="17" spans="1:14" x14ac:dyDescent="0.3">
      <c r="A17" s="30" t="s">
        <v>18</v>
      </c>
      <c r="B17" s="30"/>
      <c r="C17" s="30"/>
      <c r="D17" s="30"/>
      <c r="E17" s="30"/>
      <c r="F17" s="31"/>
      <c r="G17" s="11"/>
      <c r="H17" s="11"/>
      <c r="I17" s="32" t="s">
        <v>27</v>
      </c>
      <c r="J17" s="30"/>
      <c r="K17" s="30"/>
      <c r="L17" s="30"/>
      <c r="M17" s="30"/>
      <c r="N17" s="30"/>
    </row>
    <row r="18" spans="1:14" x14ac:dyDescent="0.3">
      <c r="A18" s="6"/>
      <c r="B18" s="33" t="s">
        <v>7</v>
      </c>
      <c r="C18" s="34"/>
      <c r="D18" s="33" t="s">
        <v>8</v>
      </c>
      <c r="E18" s="34"/>
      <c r="F18" s="8"/>
      <c r="G18" s="11"/>
      <c r="H18" s="11"/>
      <c r="I18" s="9"/>
      <c r="J18" s="33" t="s">
        <v>7</v>
      </c>
      <c r="K18" s="34"/>
      <c r="L18" s="33" t="s">
        <v>8</v>
      </c>
      <c r="M18" s="34"/>
      <c r="N18" s="6"/>
    </row>
    <row r="19" spans="1:14" x14ac:dyDescent="0.3">
      <c r="A19" s="6"/>
      <c r="B19" s="6" t="s">
        <v>13</v>
      </c>
      <c r="C19" s="6" t="s">
        <v>14</v>
      </c>
      <c r="D19" s="6" t="s">
        <v>13</v>
      </c>
      <c r="E19" s="6" t="s">
        <v>14</v>
      </c>
      <c r="F19" s="8"/>
      <c r="G19" s="11"/>
      <c r="H19" s="11"/>
      <c r="I19" s="9"/>
      <c r="J19" s="6" t="s">
        <v>13</v>
      </c>
      <c r="K19" s="6" t="s">
        <v>14</v>
      </c>
      <c r="L19" s="6" t="s">
        <v>13</v>
      </c>
      <c r="M19" s="6" t="s">
        <v>14</v>
      </c>
      <c r="N19" s="6"/>
    </row>
    <row r="20" spans="1:14" x14ac:dyDescent="0.3">
      <c r="A20" s="7">
        <v>1</v>
      </c>
      <c r="B20" s="6">
        <v>0.75</v>
      </c>
      <c r="C20" s="6">
        <v>0.89</v>
      </c>
      <c r="D20" s="6">
        <v>0.79</v>
      </c>
      <c r="E20" s="6">
        <v>0.9</v>
      </c>
      <c r="F20" s="8"/>
      <c r="G20" s="11"/>
      <c r="H20" s="11"/>
      <c r="I20" s="10">
        <v>1</v>
      </c>
      <c r="J20" s="6">
        <v>0.75</v>
      </c>
      <c r="K20" s="6">
        <v>0.89</v>
      </c>
      <c r="L20" s="6">
        <v>0.78</v>
      </c>
      <c r="M20" s="6">
        <v>0.9</v>
      </c>
      <c r="N20" s="6"/>
    </row>
    <row r="21" spans="1:14" x14ac:dyDescent="0.3">
      <c r="A21" s="7">
        <v>0.75</v>
      </c>
      <c r="B21" s="6">
        <v>0.75</v>
      </c>
      <c r="C21" s="6">
        <v>0.89</v>
      </c>
      <c r="D21" s="6">
        <v>0.81</v>
      </c>
      <c r="E21" s="6">
        <v>0.91</v>
      </c>
      <c r="F21" s="8"/>
      <c r="G21" s="11"/>
      <c r="H21" s="11"/>
      <c r="I21" s="10">
        <v>0.75</v>
      </c>
      <c r="J21" s="6">
        <v>0.73</v>
      </c>
      <c r="K21" s="6">
        <v>0.88</v>
      </c>
      <c r="L21" s="6">
        <v>0.77</v>
      </c>
      <c r="M21" s="6">
        <v>0.9</v>
      </c>
      <c r="N21" s="6"/>
    </row>
    <row r="22" spans="1:14" x14ac:dyDescent="0.3">
      <c r="A22" s="7">
        <v>0.5</v>
      </c>
      <c r="B22" s="6">
        <v>0.74</v>
      </c>
      <c r="C22" s="6">
        <v>0.88</v>
      </c>
      <c r="D22" s="6">
        <v>0.81</v>
      </c>
      <c r="E22" s="6">
        <v>0.91</v>
      </c>
      <c r="F22" s="8"/>
      <c r="G22" s="11"/>
      <c r="H22" s="11"/>
      <c r="I22" s="10">
        <v>0.5</v>
      </c>
      <c r="J22" s="6">
        <v>0.72</v>
      </c>
      <c r="K22" s="6">
        <v>0.88</v>
      </c>
      <c r="L22" s="6">
        <v>0.74</v>
      </c>
      <c r="M22" s="6">
        <v>0.88</v>
      </c>
      <c r="N22" s="6"/>
    </row>
    <row r="23" spans="1:14" x14ac:dyDescent="0.3">
      <c r="A23" s="7">
        <v>0.25</v>
      </c>
      <c r="B23" s="6">
        <v>0.74</v>
      </c>
      <c r="C23" s="6">
        <v>0.87</v>
      </c>
      <c r="D23" s="6">
        <v>0.78</v>
      </c>
      <c r="E23" s="6">
        <v>0.88</v>
      </c>
      <c r="F23" s="8"/>
      <c r="G23" s="11"/>
      <c r="H23" s="11"/>
      <c r="I23" s="10">
        <v>0.25</v>
      </c>
      <c r="J23" s="6">
        <v>0.71</v>
      </c>
      <c r="K23" s="6">
        <v>0.86</v>
      </c>
      <c r="L23" s="6">
        <v>0.71</v>
      </c>
      <c r="M23" s="6">
        <v>0.85</v>
      </c>
      <c r="N23" s="6"/>
    </row>
    <row r="24" spans="1:14" x14ac:dyDescent="0.3">
      <c r="A24" s="7">
        <v>0.1</v>
      </c>
      <c r="B24" s="6">
        <v>0.65</v>
      </c>
      <c r="C24" s="6">
        <v>0.77</v>
      </c>
      <c r="D24" s="6">
        <v>0.61</v>
      </c>
      <c r="E24" s="6">
        <v>0.71</v>
      </c>
      <c r="F24" s="8"/>
      <c r="G24" s="11"/>
      <c r="H24" s="11"/>
      <c r="I24" s="10">
        <v>0.1</v>
      </c>
      <c r="J24" s="6">
        <v>0.53</v>
      </c>
      <c r="K24" s="6">
        <v>0.65</v>
      </c>
      <c r="L24" s="6">
        <v>0.47</v>
      </c>
      <c r="M24" s="6">
        <v>0.57999999999999996</v>
      </c>
      <c r="N24" s="6"/>
    </row>
  </sheetData>
  <mergeCells count="8">
    <mergeCell ref="A16:N16"/>
    <mergeCell ref="A1:N1"/>
    <mergeCell ref="A17:F17"/>
    <mergeCell ref="I17:N17"/>
    <mergeCell ref="B18:C18"/>
    <mergeCell ref="D18:E18"/>
    <mergeCell ref="J18:K18"/>
    <mergeCell ref="L18:M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3E96-BA7F-420C-A4B5-F0692C01FC61}">
  <dimension ref="A1:I32"/>
  <sheetViews>
    <sheetView topLeftCell="A10" zoomScale="82" zoomScaleNormal="82" workbookViewId="0">
      <selection activeCell="Y15" sqref="Y15"/>
    </sheetView>
  </sheetViews>
  <sheetFormatPr defaultRowHeight="14.4" x14ac:dyDescent="0.3"/>
  <cols>
    <col min="2" max="2" width="9.77734375" customWidth="1"/>
  </cols>
  <sheetData>
    <row r="1" spans="1:7" x14ac:dyDescent="0.3">
      <c r="B1" t="s">
        <v>25</v>
      </c>
      <c r="C1" t="s">
        <v>23</v>
      </c>
      <c r="D1" t="s">
        <v>29</v>
      </c>
      <c r="E1" t="s">
        <v>30</v>
      </c>
    </row>
    <row r="2" spans="1:7" x14ac:dyDescent="0.3">
      <c r="A2" t="s">
        <v>7</v>
      </c>
      <c r="B2">
        <v>500</v>
      </c>
      <c r="C2">
        <v>800</v>
      </c>
      <c r="D2">
        <v>156</v>
      </c>
      <c r="E2">
        <v>639</v>
      </c>
    </row>
    <row r="3" spans="1:7" x14ac:dyDescent="0.3">
      <c r="A3" t="s">
        <v>26</v>
      </c>
      <c r="B3">
        <v>500</v>
      </c>
      <c r="C3">
        <v>200</v>
      </c>
      <c r="D3">
        <v>156</v>
      </c>
      <c r="E3">
        <v>156</v>
      </c>
    </row>
    <row r="6" spans="1:7" x14ac:dyDescent="0.3">
      <c r="D6" t="s">
        <v>29</v>
      </c>
      <c r="E6" t="s">
        <v>29</v>
      </c>
      <c r="F6" t="s">
        <v>33</v>
      </c>
      <c r="G6" t="s">
        <v>33</v>
      </c>
    </row>
    <row r="7" spans="1:7" x14ac:dyDescent="0.3">
      <c r="C7" s="25"/>
      <c r="D7" t="s">
        <v>31</v>
      </c>
      <c r="E7" t="s">
        <v>6</v>
      </c>
      <c r="F7" t="s">
        <v>31</v>
      </c>
      <c r="G7" t="s">
        <v>6</v>
      </c>
    </row>
    <row r="8" spans="1:7" x14ac:dyDescent="0.3">
      <c r="B8" s="24"/>
      <c r="D8">
        <v>150</v>
      </c>
      <c r="E8">
        <v>249</v>
      </c>
      <c r="F8">
        <v>593</v>
      </c>
      <c r="G8">
        <v>729</v>
      </c>
    </row>
    <row r="9" spans="1:7" x14ac:dyDescent="0.3">
      <c r="B9" s="23"/>
      <c r="D9">
        <v>158</v>
      </c>
      <c r="E9">
        <v>248</v>
      </c>
      <c r="F9">
        <v>606</v>
      </c>
      <c r="G9">
        <v>728</v>
      </c>
    </row>
    <row r="10" spans="1:7" x14ac:dyDescent="0.3">
      <c r="D10">
        <v>164</v>
      </c>
      <c r="E10">
        <v>252</v>
      </c>
      <c r="F10">
        <v>606</v>
      </c>
      <c r="G10">
        <v>732</v>
      </c>
    </row>
    <row r="11" spans="1:7" x14ac:dyDescent="0.3">
      <c r="D11">
        <v>162</v>
      </c>
      <c r="E11">
        <v>244</v>
      </c>
      <c r="F11">
        <v>594</v>
      </c>
      <c r="G11">
        <v>722</v>
      </c>
    </row>
    <row r="12" spans="1:7" x14ac:dyDescent="0.3">
      <c r="D12">
        <v>132</v>
      </c>
      <c r="E12">
        <v>224</v>
      </c>
      <c r="F12">
        <v>514</v>
      </c>
      <c r="G12">
        <v>671</v>
      </c>
    </row>
    <row r="26" spans="1:9" x14ac:dyDescent="0.3">
      <c r="B26" t="s">
        <v>32</v>
      </c>
      <c r="C26" t="s">
        <v>29</v>
      </c>
      <c r="D26" t="s">
        <v>30</v>
      </c>
      <c r="E26" t="s">
        <v>30</v>
      </c>
      <c r="F26" t="s">
        <v>0</v>
      </c>
      <c r="G26" t="s">
        <v>0</v>
      </c>
      <c r="H26" t="s">
        <v>34</v>
      </c>
      <c r="I26" t="s">
        <v>34</v>
      </c>
    </row>
    <row r="27" spans="1:9" x14ac:dyDescent="0.3">
      <c r="B27" t="s">
        <v>5</v>
      </c>
      <c r="C27" t="s">
        <v>6</v>
      </c>
      <c r="D27" t="s">
        <v>5</v>
      </c>
      <c r="E27" t="s">
        <v>6</v>
      </c>
      <c r="F27" t="s">
        <v>5</v>
      </c>
      <c r="G27" t="s">
        <v>6</v>
      </c>
      <c r="H27" t="s">
        <v>5</v>
      </c>
      <c r="I27" t="s">
        <v>6</v>
      </c>
    </row>
    <row r="28" spans="1:9" x14ac:dyDescent="0.3">
      <c r="A28" s="2">
        <v>1</v>
      </c>
      <c r="B28" s="4">
        <f t="shared" ref="B28:C32" si="0">D8/312</f>
        <v>0.48076923076923078</v>
      </c>
      <c r="C28" s="4">
        <f t="shared" si="0"/>
        <v>0.79807692307692313</v>
      </c>
      <c r="D28" s="4">
        <f>F8/795</f>
        <v>0.74591194968553454</v>
      </c>
      <c r="E28" s="4">
        <f>G8/795</f>
        <v>0.91698113207547172</v>
      </c>
      <c r="F28" s="4">
        <v>0.48099999999999998</v>
      </c>
      <c r="G28" s="4">
        <v>0.79900000000000004</v>
      </c>
      <c r="H28" s="4">
        <v>0.77600000000000002</v>
      </c>
      <c r="I28" s="4">
        <v>0.91200000000000003</v>
      </c>
    </row>
    <row r="29" spans="1:9" x14ac:dyDescent="0.3">
      <c r="A29" s="2">
        <v>0.75</v>
      </c>
      <c r="B29" s="4">
        <f t="shared" si="0"/>
        <v>0.50641025641025639</v>
      </c>
      <c r="C29" s="4">
        <f t="shared" si="0"/>
        <v>0.79487179487179482</v>
      </c>
      <c r="D29" s="4">
        <f t="shared" ref="D29:E32" si="1">F9/795</f>
        <v>0.76226415094339628</v>
      </c>
      <c r="E29" s="4">
        <f t="shared" si="1"/>
        <v>0.91572327044025159</v>
      </c>
      <c r="F29" s="4">
        <v>0.47399999999999998</v>
      </c>
      <c r="G29" s="4">
        <v>0.78900000000000003</v>
      </c>
      <c r="H29" s="4">
        <v>0.76600000000000001</v>
      </c>
      <c r="I29" s="4">
        <v>0.90800000000000003</v>
      </c>
    </row>
    <row r="30" spans="1:9" x14ac:dyDescent="0.3">
      <c r="A30" s="2">
        <v>0.5</v>
      </c>
      <c r="B30" s="4">
        <f t="shared" si="0"/>
        <v>0.52564102564102566</v>
      </c>
      <c r="C30" s="4">
        <f t="shared" si="0"/>
        <v>0.80769230769230771</v>
      </c>
      <c r="D30" s="4">
        <f t="shared" si="1"/>
        <v>0.76226415094339628</v>
      </c>
      <c r="E30" s="4">
        <f t="shared" si="1"/>
        <v>0.92075471698113209</v>
      </c>
      <c r="F30" s="4">
        <v>0.47199999999999998</v>
      </c>
      <c r="G30" s="4">
        <v>0.77800000000000002</v>
      </c>
      <c r="H30" s="4">
        <v>0.74199999999999999</v>
      </c>
      <c r="I30" s="4">
        <v>0.90700000000000003</v>
      </c>
    </row>
    <row r="31" spans="1:9" x14ac:dyDescent="0.3">
      <c r="A31" s="2">
        <v>0.25</v>
      </c>
      <c r="B31" s="4">
        <f t="shared" si="0"/>
        <v>0.51923076923076927</v>
      </c>
      <c r="C31" s="4">
        <f t="shared" si="0"/>
        <v>0.78205128205128205</v>
      </c>
      <c r="D31" s="4">
        <f t="shared" si="1"/>
        <v>0.74716981132075466</v>
      </c>
      <c r="E31" s="4">
        <f t="shared" si="1"/>
        <v>0.90817610062893084</v>
      </c>
      <c r="F31" s="4">
        <v>0.46100000000000002</v>
      </c>
      <c r="G31" s="4">
        <v>0.749</v>
      </c>
      <c r="H31" s="4">
        <v>0.69899999999999995</v>
      </c>
      <c r="I31" s="4">
        <v>0.88</v>
      </c>
    </row>
    <row r="32" spans="1:9" x14ac:dyDescent="0.3">
      <c r="A32" s="2">
        <v>0.1</v>
      </c>
      <c r="B32" s="4">
        <f t="shared" si="0"/>
        <v>0.42307692307692307</v>
      </c>
      <c r="C32" s="4">
        <f t="shared" si="0"/>
        <v>0.71794871794871795</v>
      </c>
      <c r="D32" s="4">
        <f t="shared" si="1"/>
        <v>0.64654088050314462</v>
      </c>
      <c r="E32" s="4">
        <f t="shared" si="1"/>
        <v>0.84402515723270444</v>
      </c>
      <c r="F32" s="4">
        <v>0.41599999999999998</v>
      </c>
      <c r="G32" s="4">
        <v>0.66800000000000004</v>
      </c>
      <c r="H32" s="4">
        <v>0.61199999999999999</v>
      </c>
      <c r="I32" s="4">
        <v>0.81399999999999995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76EF-B66F-467A-8E58-0DBBB3A516CE}">
  <dimension ref="B4:N59"/>
  <sheetViews>
    <sheetView topLeftCell="A7" zoomScale="63" zoomScaleNormal="63" workbookViewId="0">
      <selection activeCell="E4" sqref="E4"/>
    </sheetView>
  </sheetViews>
  <sheetFormatPr defaultRowHeight="14.4" x14ac:dyDescent="0.3"/>
  <cols>
    <col min="4" max="4" width="19.44140625" customWidth="1"/>
  </cols>
  <sheetData>
    <row r="4" spans="4:7" x14ac:dyDescent="0.3">
      <c r="E4" t="s">
        <v>8</v>
      </c>
      <c r="F4" t="s">
        <v>7</v>
      </c>
      <c r="G4" t="s">
        <v>9</v>
      </c>
    </row>
    <row r="5" spans="4:7" x14ac:dyDescent="0.3">
      <c r="D5" s="2">
        <v>1</v>
      </c>
      <c r="E5" s="1">
        <v>0.754</v>
      </c>
      <c r="F5" s="1">
        <v>0.71599999999999997</v>
      </c>
      <c r="G5" s="1">
        <v>0.71499999999999997</v>
      </c>
    </row>
    <row r="6" spans="4:7" x14ac:dyDescent="0.3">
      <c r="D6" s="2">
        <v>0.75</v>
      </c>
      <c r="E6" s="1">
        <v>0.745</v>
      </c>
      <c r="F6" s="1">
        <v>0.71599999999999997</v>
      </c>
      <c r="G6" s="1">
        <v>0.70799999999999996</v>
      </c>
    </row>
    <row r="7" spans="4:7" x14ac:dyDescent="0.3">
      <c r="D7" s="2">
        <v>0.5</v>
      </c>
      <c r="E7" s="1">
        <v>0.747</v>
      </c>
      <c r="F7" s="1">
        <v>0.71</v>
      </c>
      <c r="G7" s="1">
        <v>0.67900000000000005</v>
      </c>
    </row>
    <row r="8" spans="4:7" x14ac:dyDescent="0.3">
      <c r="D8" s="2">
        <v>0.25</v>
      </c>
      <c r="E8" s="1">
        <v>0.72499999999999998</v>
      </c>
      <c r="F8" s="1">
        <v>0.66400000000000003</v>
      </c>
      <c r="G8" s="1">
        <v>0.59799999999999998</v>
      </c>
    </row>
    <row r="9" spans="4:7" x14ac:dyDescent="0.3">
      <c r="D9" s="2">
        <v>0.1</v>
      </c>
      <c r="E9" s="1">
        <v>0.6</v>
      </c>
      <c r="F9" s="1">
        <v>0.434</v>
      </c>
      <c r="G9" s="1">
        <v>0.376</v>
      </c>
    </row>
    <row r="15" spans="4:7" ht="13.8" customHeight="1" x14ac:dyDescent="0.3"/>
    <row r="22" spans="3:8" x14ac:dyDescent="0.3">
      <c r="D22" s="1"/>
      <c r="E22" s="1"/>
      <c r="F22" s="1"/>
      <c r="G22" s="1"/>
      <c r="H22" s="1"/>
    </row>
    <row r="23" spans="3:8" x14ac:dyDescent="0.3">
      <c r="D23" s="1"/>
      <c r="E23" s="1"/>
      <c r="F23" s="1"/>
      <c r="G23" s="1"/>
      <c r="H23" s="1"/>
    </row>
    <row r="24" spans="3:8" x14ac:dyDescent="0.3">
      <c r="D24" s="1"/>
      <c r="E24" s="1"/>
      <c r="F24" s="1"/>
      <c r="G24" s="1"/>
      <c r="H24" s="1"/>
    </row>
    <row r="25" spans="3:8" x14ac:dyDescent="0.3">
      <c r="C25" t="s">
        <v>44</v>
      </c>
      <c r="D25" t="s">
        <v>55</v>
      </c>
      <c r="E25" t="s">
        <v>56</v>
      </c>
      <c r="F25" t="s">
        <v>57</v>
      </c>
      <c r="G25" t="s">
        <v>58</v>
      </c>
      <c r="H25" t="s">
        <v>59</v>
      </c>
    </row>
    <row r="26" spans="3:8" x14ac:dyDescent="0.3">
      <c r="C26" t="s">
        <v>7</v>
      </c>
      <c r="D26" s="1">
        <v>0.66839999999999999</v>
      </c>
      <c r="E26" s="1">
        <v>0.68640000000000001</v>
      </c>
      <c r="F26" s="1">
        <v>0.68159999999999998</v>
      </c>
      <c r="G26" s="1">
        <v>0.69799999999999995</v>
      </c>
      <c r="H26" s="1">
        <v>0.69840000000000002</v>
      </c>
    </row>
    <row r="27" spans="3:8" x14ac:dyDescent="0.3">
      <c r="C27" t="s">
        <v>8</v>
      </c>
      <c r="D27" s="1">
        <v>0.74639999999999995</v>
      </c>
      <c r="E27" s="1">
        <v>0.7712</v>
      </c>
      <c r="F27" s="1">
        <v>0.75719999999999998</v>
      </c>
      <c r="G27" s="1">
        <v>0.77559999999999996</v>
      </c>
      <c r="H27" s="1">
        <v>0.76</v>
      </c>
    </row>
    <row r="28" spans="3:8" x14ac:dyDescent="0.3">
      <c r="C28" t="s">
        <v>9</v>
      </c>
      <c r="D28" s="1">
        <v>0.69240000000000002</v>
      </c>
      <c r="E28" s="1">
        <v>0.71440000000000003</v>
      </c>
      <c r="F28" s="1">
        <v>0.71919999999999995</v>
      </c>
      <c r="G28" s="1">
        <v>0.73880000000000001</v>
      </c>
      <c r="H28" s="1">
        <v>0.71319999999999995</v>
      </c>
    </row>
    <row r="31" spans="3:8" x14ac:dyDescent="0.3">
      <c r="D31" s="1"/>
      <c r="E31" s="1"/>
      <c r="F31" s="1"/>
      <c r="G31" s="1"/>
      <c r="H31" s="1"/>
    </row>
    <row r="37" spans="2:14" x14ac:dyDescent="0.3">
      <c r="L37" t="s">
        <v>34</v>
      </c>
    </row>
    <row r="38" spans="2:14" x14ac:dyDescent="0.3">
      <c r="B38" t="s">
        <v>44</v>
      </c>
      <c r="C38">
        <v>1</v>
      </c>
      <c r="D38">
        <v>6</v>
      </c>
      <c r="E38">
        <v>11</v>
      </c>
      <c r="F38">
        <v>15</v>
      </c>
      <c r="G38">
        <v>20</v>
      </c>
      <c r="L38" t="s">
        <v>7</v>
      </c>
      <c r="M38" t="s">
        <v>8</v>
      </c>
      <c r="N38" t="s">
        <v>9</v>
      </c>
    </row>
    <row r="39" spans="2:14" x14ac:dyDescent="0.3">
      <c r="B39" t="s">
        <v>36</v>
      </c>
      <c r="C39">
        <v>2.4300000000000002</v>
      </c>
      <c r="D39">
        <v>95.21</v>
      </c>
      <c r="E39">
        <v>115.99</v>
      </c>
      <c r="F39">
        <v>130.86000000000001</v>
      </c>
      <c r="G39">
        <v>174.17</v>
      </c>
      <c r="K39" s="2">
        <v>1</v>
      </c>
      <c r="L39" s="1">
        <v>0.71599999999999997</v>
      </c>
      <c r="M39" s="1">
        <v>0.754</v>
      </c>
      <c r="N39" s="1">
        <v>0.71499999999999997</v>
      </c>
    </row>
    <row r="40" spans="2:14" x14ac:dyDescent="0.3">
      <c r="B40" t="s">
        <v>37</v>
      </c>
      <c r="C40">
        <v>59.3</v>
      </c>
      <c r="D40">
        <v>100.14</v>
      </c>
      <c r="E40">
        <v>119.6</v>
      </c>
      <c r="F40">
        <v>135.41</v>
      </c>
      <c r="G40">
        <v>245.67</v>
      </c>
      <c r="K40" s="2">
        <v>0.75</v>
      </c>
      <c r="L40" s="1">
        <v>0.71599999999999997</v>
      </c>
      <c r="M40" s="1">
        <v>0.745</v>
      </c>
      <c r="N40" s="1">
        <v>0.70799999999999996</v>
      </c>
    </row>
    <row r="41" spans="2:14" x14ac:dyDescent="0.3">
      <c r="B41" t="s">
        <v>7</v>
      </c>
      <c r="C41" s="1">
        <v>0.6724</v>
      </c>
      <c r="D41" s="1">
        <v>0.70279999999999998</v>
      </c>
      <c r="E41" s="1">
        <v>0.69599999999999995</v>
      </c>
      <c r="F41" s="1">
        <v>0</v>
      </c>
      <c r="G41" s="1">
        <v>0.68959999999999999</v>
      </c>
      <c r="K41" s="2">
        <v>0.5</v>
      </c>
      <c r="L41" s="1">
        <v>0.71</v>
      </c>
      <c r="M41" s="1">
        <v>0.747</v>
      </c>
      <c r="N41" s="1">
        <v>0.67900000000000005</v>
      </c>
    </row>
    <row r="42" spans="2:14" x14ac:dyDescent="0.3">
      <c r="B42" t="s">
        <v>8</v>
      </c>
      <c r="C42" s="1">
        <v>0.1396</v>
      </c>
      <c r="D42" s="1">
        <v>0.12920000000000001</v>
      </c>
      <c r="E42" s="1">
        <v>0.13600000000000001</v>
      </c>
      <c r="F42" s="1">
        <v>0</v>
      </c>
      <c r="G42" s="1">
        <v>0.13439999999999999</v>
      </c>
      <c r="K42" s="2">
        <v>0.25</v>
      </c>
      <c r="L42" s="1">
        <v>0.66400000000000003</v>
      </c>
      <c r="M42" s="1">
        <v>0.72499999999999998</v>
      </c>
      <c r="N42" s="1">
        <v>0.59799999999999998</v>
      </c>
    </row>
    <row r="43" spans="2:14" x14ac:dyDescent="0.3">
      <c r="B43" t="s">
        <v>9</v>
      </c>
      <c r="C43" s="1">
        <v>4.1200000000000001E-2</v>
      </c>
      <c r="D43" s="1">
        <v>2.7199999999999998E-2</v>
      </c>
      <c r="E43" s="1">
        <v>3.44E-2</v>
      </c>
      <c r="F43" s="1">
        <v>0</v>
      </c>
      <c r="G43" s="1">
        <v>3.8800000000000001E-2</v>
      </c>
      <c r="K43" s="2">
        <v>0.1</v>
      </c>
      <c r="L43" s="1">
        <v>0.434</v>
      </c>
      <c r="M43" s="1">
        <v>0.6</v>
      </c>
      <c r="N43" s="1">
        <v>0.376</v>
      </c>
    </row>
    <row r="44" spans="2:14" x14ac:dyDescent="0.3">
      <c r="B44" t="s">
        <v>26</v>
      </c>
      <c r="C44" s="1">
        <v>0.14680000000000001</v>
      </c>
      <c r="D44" s="1">
        <v>0.14080000000000001</v>
      </c>
      <c r="E44" s="1">
        <v>0.1336</v>
      </c>
      <c r="G44" s="1">
        <v>0.13719999999999999</v>
      </c>
    </row>
    <row r="45" spans="2:14" x14ac:dyDescent="0.3">
      <c r="B45" t="s">
        <v>38</v>
      </c>
      <c r="C45" s="1">
        <v>0.66839999999999999</v>
      </c>
      <c r="D45" s="1">
        <v>0.68640000000000001</v>
      </c>
      <c r="E45" s="1">
        <v>0.68159999999999998</v>
      </c>
      <c r="F45" s="1">
        <v>0.69799999999999995</v>
      </c>
      <c r="G45" s="1">
        <v>0.69840000000000002</v>
      </c>
    </row>
    <row r="46" spans="2:14" x14ac:dyDescent="0.3">
      <c r="B46" t="s">
        <v>39</v>
      </c>
      <c r="C46" s="1">
        <v>0.87160000000000004</v>
      </c>
      <c r="D46" s="1">
        <v>0.87360000000000004</v>
      </c>
      <c r="E46" s="1">
        <v>0.87560000000000004</v>
      </c>
      <c r="F46" s="1">
        <v>0.89839999999999998</v>
      </c>
      <c r="G46" s="1">
        <v>0.89759999999999995</v>
      </c>
    </row>
    <row r="47" spans="2:14" x14ac:dyDescent="0.3">
      <c r="B47" t="s">
        <v>40</v>
      </c>
      <c r="C47" s="1">
        <v>0.74639999999999995</v>
      </c>
      <c r="D47" s="1">
        <v>0.7712</v>
      </c>
      <c r="E47" s="1">
        <v>0.75719999999999998</v>
      </c>
      <c r="F47" s="1">
        <v>0.77559999999999996</v>
      </c>
      <c r="G47" s="1">
        <v>0.76</v>
      </c>
    </row>
    <row r="48" spans="2:14" x14ac:dyDescent="0.3">
      <c r="B48" t="s">
        <v>41</v>
      </c>
      <c r="C48" s="1">
        <v>0.92120000000000002</v>
      </c>
      <c r="D48" s="1">
        <v>0.93359999999999999</v>
      </c>
      <c r="E48" s="1">
        <v>0.93159999999999998</v>
      </c>
      <c r="F48" s="1">
        <v>0.93240000000000001</v>
      </c>
      <c r="G48" s="1">
        <v>0.93759999999999999</v>
      </c>
    </row>
    <row r="49" spans="2:13" x14ac:dyDescent="0.3">
      <c r="B49" t="s">
        <v>42</v>
      </c>
      <c r="C49" s="1">
        <v>0.69240000000000002</v>
      </c>
      <c r="D49" s="1">
        <v>0.71440000000000003</v>
      </c>
      <c r="E49" s="1">
        <v>0.71919999999999995</v>
      </c>
      <c r="F49" s="1">
        <v>0.73880000000000001</v>
      </c>
      <c r="G49" s="1">
        <v>0.71319999999999995</v>
      </c>
    </row>
    <row r="50" spans="2:13" x14ac:dyDescent="0.3">
      <c r="B50" t="s">
        <v>43</v>
      </c>
      <c r="C50" s="1">
        <v>0.87760000000000005</v>
      </c>
      <c r="D50" s="1">
        <v>0.89400000000000002</v>
      </c>
      <c r="E50" s="1">
        <v>0.89639999999999997</v>
      </c>
      <c r="F50" s="1">
        <v>0.91520000000000001</v>
      </c>
      <c r="G50" s="1">
        <v>0.90639999999999998</v>
      </c>
    </row>
    <row r="55" spans="2:13" x14ac:dyDescent="0.3">
      <c r="M55" s="4"/>
    </row>
    <row r="56" spans="2:13" x14ac:dyDescent="0.3">
      <c r="M56" s="5"/>
    </row>
    <row r="57" spans="2:13" x14ac:dyDescent="0.3">
      <c r="M57" s="4"/>
    </row>
    <row r="58" spans="2:13" x14ac:dyDescent="0.3">
      <c r="M58" s="4"/>
    </row>
    <row r="59" spans="2:13" x14ac:dyDescent="0.3">
      <c r="M5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Original_data</vt:lpstr>
      <vt:lpstr>CNN &amp; Size Comparison</vt:lpstr>
      <vt:lpstr>Balance&amp;Type Comparison</vt:lpstr>
      <vt:lpstr>Size_comp</vt:lpstr>
      <vt:lpstr>3 CNNs Without Premodel</vt:lpstr>
      <vt:lpstr>20 categories &amp; dataset mapping</vt:lpstr>
      <vt:lpstr>Bal_Unbal Car_related</vt:lpstr>
      <vt:lpstr>car_related and usual</vt:lpstr>
      <vt:lpstr>Top-1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Влад</cp:lastModifiedBy>
  <dcterms:created xsi:type="dcterms:W3CDTF">2022-07-13T12:19:34Z</dcterms:created>
  <dcterms:modified xsi:type="dcterms:W3CDTF">2023-04-22T06:20:18Z</dcterms:modified>
</cp:coreProperties>
</file>