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repos\askue_reports\app\routes\generate-reports\.server\workbooks\"/>
    </mc:Choice>
  </mc:AlternateContent>
  <bookViews>
    <workbookView xWindow="0" yWindow="0" windowWidth="16380" windowHeight="8190" tabRatio="500" firstSheet="2" activeTab="2"/>
  </bookViews>
  <sheets>
    <sheet name="Лист1" sheetId="1" state="hidden" r:id="rId1"/>
    <sheet name="Лист" sheetId="2" state="hidden" r:id="rId2"/>
    <sheet name="04" sheetId="3" r:id="rId3"/>
  </sheets>
  <definedNames>
    <definedName name="_xlnm.Print_Area" localSheetId="2">'04'!$A$1:$AB$38</definedName>
    <definedName name="_xlnm.Print_Area" localSheetId="1">Лист!$A$1:$K$34</definedName>
    <definedName name="_xlnm.Print_Area" localSheetId="0">Лист1!$A$1:$L$30</definedName>
  </definedNames>
  <calcPr calcId="15251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Z33" i="3" l="1"/>
  <c r="Y33" i="3"/>
  <c r="O33" i="3"/>
  <c r="N33" i="3"/>
  <c r="L33" i="3"/>
  <c r="K33" i="3"/>
  <c r="I33" i="3"/>
  <c r="H33" i="3"/>
  <c r="G33" i="3"/>
  <c r="F33" i="3"/>
  <c r="E33" i="3"/>
  <c r="D33" i="3"/>
  <c r="AA32" i="3"/>
  <c r="V32" i="3"/>
  <c r="W32" i="3" s="1"/>
  <c r="U32" i="3"/>
  <c r="T32" i="3"/>
  <c r="S32" i="3"/>
  <c r="X32" i="3" s="1"/>
  <c r="R32" i="3"/>
  <c r="Q32" i="3"/>
  <c r="J32" i="3"/>
  <c r="AD32" i="3" s="1"/>
  <c r="AE32" i="3" s="1"/>
  <c r="AD31" i="3"/>
  <c r="AE31" i="3" s="1"/>
  <c r="AA31" i="3"/>
  <c r="X31" i="3"/>
  <c r="U31" i="3"/>
  <c r="T31" i="3"/>
  <c r="S31" i="3"/>
  <c r="V31" i="3" s="1"/>
  <c r="W31" i="3" s="1"/>
  <c r="R31" i="3"/>
  <c r="Q31" i="3"/>
  <c r="J31" i="3"/>
  <c r="AA30" i="3"/>
  <c r="X30" i="3"/>
  <c r="V30" i="3"/>
  <c r="W30" i="3" s="1"/>
  <c r="U30" i="3"/>
  <c r="T30" i="3"/>
  <c r="S30" i="3"/>
  <c r="R30" i="3"/>
  <c r="Q30" i="3"/>
  <c r="J30" i="3"/>
  <c r="AD30" i="3" s="1"/>
  <c r="AE30" i="3" s="1"/>
  <c r="AG29" i="3"/>
  <c r="AD29" i="3"/>
  <c r="AE29" i="3" s="1"/>
  <c r="AA29" i="3"/>
  <c r="U29" i="3"/>
  <c r="T29" i="3"/>
  <c r="S29" i="3"/>
  <c r="X29" i="3" s="1"/>
  <c r="R29" i="3"/>
  <c r="J29" i="3"/>
  <c r="C29" i="3"/>
  <c r="C33" i="3" s="1"/>
  <c r="AD28" i="3"/>
  <c r="AE28" i="3" s="1"/>
  <c r="AA28" i="3"/>
  <c r="V28" i="3"/>
  <c r="W28" i="3" s="1"/>
  <c r="U28" i="3"/>
  <c r="T28" i="3"/>
  <c r="S28" i="3"/>
  <c r="X28" i="3" s="1"/>
  <c r="R28" i="3"/>
  <c r="Q28" i="3"/>
  <c r="J28" i="3"/>
  <c r="AD27" i="3"/>
  <c r="AE27" i="3" s="1"/>
  <c r="AA27" i="3"/>
  <c r="U27" i="3"/>
  <c r="T27" i="3"/>
  <c r="S27" i="3"/>
  <c r="X27" i="3" s="1"/>
  <c r="R27" i="3"/>
  <c r="Q27" i="3"/>
  <c r="J27" i="3"/>
  <c r="AD26" i="3"/>
  <c r="AE26" i="3" s="1"/>
  <c r="AA26" i="3"/>
  <c r="X26" i="3"/>
  <c r="V26" i="3"/>
  <c r="W26" i="3" s="1"/>
  <c r="U26" i="3"/>
  <c r="T26" i="3"/>
  <c r="S26" i="3"/>
  <c r="R26" i="3"/>
  <c r="Q26" i="3"/>
  <c r="J26" i="3"/>
  <c r="AD25" i="3"/>
  <c r="AE25" i="3" s="1"/>
  <c r="AA25" i="3"/>
  <c r="U25" i="3"/>
  <c r="T25" i="3"/>
  <c r="S25" i="3"/>
  <c r="X25" i="3" s="1"/>
  <c r="R25" i="3"/>
  <c r="Q25" i="3"/>
  <c r="J25" i="3"/>
  <c r="AD24" i="3"/>
  <c r="AE24" i="3" s="1"/>
  <c r="AA24" i="3"/>
  <c r="X24" i="3"/>
  <c r="V24" i="3"/>
  <c r="W24" i="3" s="1"/>
  <c r="U24" i="3"/>
  <c r="T24" i="3"/>
  <c r="S24" i="3"/>
  <c r="R24" i="3"/>
  <c r="Q24" i="3"/>
  <c r="J24" i="3"/>
  <c r="AD23" i="3"/>
  <c r="AE23" i="3" s="1"/>
  <c r="AA23" i="3"/>
  <c r="U23" i="3"/>
  <c r="T23" i="3"/>
  <c r="S23" i="3"/>
  <c r="X23" i="3" s="1"/>
  <c r="R23" i="3"/>
  <c r="Q23" i="3"/>
  <c r="J23" i="3"/>
  <c r="AD22" i="3"/>
  <c r="AE22" i="3" s="1"/>
  <c r="AA22" i="3"/>
  <c r="X22" i="3"/>
  <c r="V22" i="3"/>
  <c r="W22" i="3" s="1"/>
  <c r="U22" i="3"/>
  <c r="T22" i="3"/>
  <c r="S22" i="3"/>
  <c r="R22" i="3"/>
  <c r="Q22" i="3"/>
  <c r="J22" i="3"/>
  <c r="AD21" i="3"/>
  <c r="AE21" i="3" s="1"/>
  <c r="AA21" i="3"/>
  <c r="U21" i="3"/>
  <c r="T21" i="3"/>
  <c r="S21" i="3"/>
  <c r="X21" i="3" s="1"/>
  <c r="R21" i="3"/>
  <c r="Q21" i="3"/>
  <c r="J21" i="3"/>
  <c r="AD20" i="3"/>
  <c r="AE20" i="3" s="1"/>
  <c r="AA20" i="3"/>
  <c r="X20" i="3"/>
  <c r="V20" i="3"/>
  <c r="W20" i="3" s="1"/>
  <c r="U20" i="3"/>
  <c r="T20" i="3"/>
  <c r="S20" i="3"/>
  <c r="R20" i="3"/>
  <c r="Q20" i="3"/>
  <c r="J20" i="3"/>
  <c r="AD19" i="3"/>
  <c r="AE19" i="3" s="1"/>
  <c r="AA19" i="3"/>
  <c r="U19" i="3"/>
  <c r="T19" i="3"/>
  <c r="S19" i="3"/>
  <c r="X19" i="3" s="1"/>
  <c r="R19" i="3"/>
  <c r="Q19" i="3"/>
  <c r="J19" i="3"/>
  <c r="AD18" i="3"/>
  <c r="AE18" i="3" s="1"/>
  <c r="AA18" i="3"/>
  <c r="X18" i="3"/>
  <c r="V18" i="3"/>
  <c r="W18" i="3" s="1"/>
  <c r="U18" i="3"/>
  <c r="T18" i="3"/>
  <c r="S18" i="3"/>
  <c r="R18" i="3"/>
  <c r="Q18" i="3"/>
  <c r="J18" i="3"/>
  <c r="AD17" i="3"/>
  <c r="AE17" i="3" s="1"/>
  <c r="AA17" i="3"/>
  <c r="U17" i="3"/>
  <c r="T17" i="3"/>
  <c r="S17" i="3"/>
  <c r="X17" i="3" s="1"/>
  <c r="R17" i="3"/>
  <c r="Q17" i="3"/>
  <c r="J17" i="3"/>
  <c r="AD16" i="3"/>
  <c r="AE16" i="3" s="1"/>
  <c r="AA16" i="3"/>
  <c r="X16" i="3"/>
  <c r="V16" i="3"/>
  <c r="W16" i="3" s="1"/>
  <c r="U16" i="3"/>
  <c r="T16" i="3"/>
  <c r="S16" i="3"/>
  <c r="R16" i="3"/>
  <c r="Q16" i="3"/>
  <c r="J16" i="3"/>
  <c r="AD15" i="3"/>
  <c r="AE15" i="3" s="1"/>
  <c r="AA15" i="3"/>
  <c r="U15" i="3"/>
  <c r="T15" i="3"/>
  <c r="S15" i="3"/>
  <c r="X15" i="3" s="1"/>
  <c r="R15" i="3"/>
  <c r="Q15" i="3"/>
  <c r="J15" i="3"/>
  <c r="AD14" i="3"/>
  <c r="AE14" i="3" s="1"/>
  <c r="AA14" i="3"/>
  <c r="X14" i="3"/>
  <c r="V14" i="3"/>
  <c r="W14" i="3" s="1"/>
  <c r="U14" i="3"/>
  <c r="T14" i="3"/>
  <c r="S14" i="3"/>
  <c r="R14" i="3"/>
  <c r="Q14" i="3"/>
  <c r="J14" i="3"/>
  <c r="AD13" i="3"/>
  <c r="AE13" i="3" s="1"/>
  <c r="AA13" i="3"/>
  <c r="U13" i="3"/>
  <c r="T13" i="3"/>
  <c r="S13" i="3"/>
  <c r="X13" i="3" s="1"/>
  <c r="R13" i="3"/>
  <c r="Q13" i="3"/>
  <c r="J13" i="3"/>
  <c r="AD12" i="3"/>
  <c r="AE12" i="3" s="1"/>
  <c r="AA12" i="3"/>
  <c r="X12" i="3"/>
  <c r="V12" i="3"/>
  <c r="W12" i="3" s="1"/>
  <c r="U12" i="3"/>
  <c r="T12" i="3"/>
  <c r="S12" i="3"/>
  <c r="R12" i="3"/>
  <c r="Q12" i="3"/>
  <c r="J12" i="3"/>
  <c r="AD11" i="3"/>
  <c r="AE11" i="3" s="1"/>
  <c r="AA11" i="3"/>
  <c r="U11" i="3"/>
  <c r="T11" i="3"/>
  <c r="S11" i="3"/>
  <c r="X11" i="3" s="1"/>
  <c r="R11" i="3"/>
  <c r="Q11" i="3"/>
  <c r="J11" i="3"/>
  <c r="AD10" i="3"/>
  <c r="AE10" i="3" s="1"/>
  <c r="AA10" i="3"/>
  <c r="X10" i="3"/>
  <c r="V10" i="3"/>
  <c r="W10" i="3" s="1"/>
  <c r="U10" i="3"/>
  <c r="T10" i="3"/>
  <c r="S10" i="3"/>
  <c r="R10" i="3"/>
  <c r="Q10" i="3"/>
  <c r="J10" i="3"/>
  <c r="AD9" i="3"/>
  <c r="AE9" i="3" s="1"/>
  <c r="AA9" i="3"/>
  <c r="U9" i="3"/>
  <c r="T9" i="3"/>
  <c r="S9" i="3"/>
  <c r="X9" i="3" s="1"/>
  <c r="R9" i="3"/>
  <c r="Q9" i="3"/>
  <c r="J9" i="3"/>
  <c r="AD8" i="3"/>
  <c r="AD33" i="3" s="1"/>
  <c r="AA8" i="3"/>
  <c r="AA33" i="3" s="1"/>
  <c r="X8" i="3"/>
  <c r="X33" i="3" s="1"/>
  <c r="V8" i="3"/>
  <c r="W8" i="3" s="1"/>
  <c r="W33" i="3" s="1"/>
  <c r="U8" i="3"/>
  <c r="U33" i="3" s="1"/>
  <c r="T8" i="3"/>
  <c r="T33" i="3" s="1"/>
  <c r="S8" i="3"/>
  <c r="S33" i="3" s="1"/>
  <c r="R8" i="3"/>
  <c r="R33" i="3" s="1"/>
  <c r="Q8" i="3"/>
  <c r="Q33" i="3" s="1"/>
  <c r="J8" i="3"/>
  <c r="J33" i="3" s="1"/>
  <c r="M34" i="2"/>
  <c r="C34" i="2"/>
  <c r="N33" i="2"/>
  <c r="F33" i="2" s="1"/>
  <c r="H33" i="2"/>
  <c r="G33" i="2"/>
  <c r="E33" i="2"/>
  <c r="O33" i="2" s="1"/>
  <c r="N32" i="2"/>
  <c r="L32" i="2"/>
  <c r="K32" i="2"/>
  <c r="J32" i="2"/>
  <c r="I32" i="2"/>
  <c r="H32" i="2"/>
  <c r="G32" i="2"/>
  <c r="D32" i="2"/>
  <c r="O32" i="2" s="1"/>
  <c r="N31" i="2"/>
  <c r="K31" i="2"/>
  <c r="J31" i="2"/>
  <c r="I31" i="2"/>
  <c r="F31" i="2"/>
  <c r="E31" i="2"/>
  <c r="G31" i="2" s="1"/>
  <c r="H31" i="2" s="1"/>
  <c r="D31" i="2"/>
  <c r="O30" i="2"/>
  <c r="N30" i="2"/>
  <c r="L30" i="2"/>
  <c r="K30" i="2"/>
  <c r="I30" i="2"/>
  <c r="J30" i="2" s="1"/>
  <c r="H30" i="2"/>
  <c r="G30" i="2"/>
  <c r="O29" i="2"/>
  <c r="N29" i="2"/>
  <c r="K29" i="2"/>
  <c r="J29" i="2"/>
  <c r="I29" i="2"/>
  <c r="G29" i="2"/>
  <c r="H29" i="2" s="1"/>
  <c r="E29" i="2"/>
  <c r="O28" i="2"/>
  <c r="N28" i="2"/>
  <c r="K28" i="2"/>
  <c r="G28" i="2"/>
  <c r="H28" i="2" s="1"/>
  <c r="F28" i="2"/>
  <c r="I28" i="2" s="1"/>
  <c r="J28" i="2" s="1"/>
  <c r="O27" i="2"/>
  <c r="N27" i="2"/>
  <c r="K27" i="2"/>
  <c r="I27" i="2"/>
  <c r="E27" i="2"/>
  <c r="G27" i="2" s="1"/>
  <c r="H27" i="2" s="1"/>
  <c r="N26" i="2"/>
  <c r="K26" i="2"/>
  <c r="J26" i="2"/>
  <c r="I26" i="2"/>
  <c r="E26" i="2"/>
  <c r="G26" i="2" s="1"/>
  <c r="H26" i="2" s="1"/>
  <c r="O25" i="2"/>
  <c r="N25" i="2"/>
  <c r="K25" i="2"/>
  <c r="G25" i="2"/>
  <c r="H25" i="2" s="1"/>
  <c r="F25" i="2"/>
  <c r="I25" i="2" s="1"/>
  <c r="J25" i="2" s="1"/>
  <c r="N24" i="2"/>
  <c r="K24" i="2"/>
  <c r="G24" i="2"/>
  <c r="H24" i="2" s="1"/>
  <c r="F24" i="2"/>
  <c r="I24" i="2" s="1"/>
  <c r="J24" i="2" s="1"/>
  <c r="E24" i="2"/>
  <c r="O24" i="2" s="1"/>
  <c r="D24" i="2"/>
  <c r="O23" i="2"/>
  <c r="N23" i="2"/>
  <c r="K23" i="2"/>
  <c r="I23" i="2"/>
  <c r="J23" i="2" s="1"/>
  <c r="E23" i="2"/>
  <c r="G23" i="2" s="1"/>
  <c r="H23" i="2" s="1"/>
  <c r="O22" i="2"/>
  <c r="N22" i="2"/>
  <c r="K22" i="2"/>
  <c r="I22" i="2"/>
  <c r="J22" i="2" s="1"/>
  <c r="E22" i="2"/>
  <c r="G22" i="2" s="1"/>
  <c r="H22" i="2" s="1"/>
  <c r="O21" i="2"/>
  <c r="N21" i="2"/>
  <c r="K21" i="2"/>
  <c r="I21" i="2"/>
  <c r="J21" i="2" s="1"/>
  <c r="E21" i="2"/>
  <c r="G21" i="2" s="1"/>
  <c r="H21" i="2" s="1"/>
  <c r="O20" i="2"/>
  <c r="N20" i="2"/>
  <c r="K20" i="2"/>
  <c r="I20" i="2"/>
  <c r="J20" i="2" s="1"/>
  <c r="E20" i="2"/>
  <c r="G20" i="2" s="1"/>
  <c r="H20" i="2" s="1"/>
  <c r="O19" i="2"/>
  <c r="N19" i="2"/>
  <c r="M19" i="2"/>
  <c r="G19" i="2"/>
  <c r="H19" i="2" s="1"/>
  <c r="F19" i="2"/>
  <c r="K19" i="2" s="1"/>
  <c r="E19" i="2"/>
  <c r="N18" i="2"/>
  <c r="K18" i="2"/>
  <c r="J18" i="2"/>
  <c r="I18" i="2"/>
  <c r="G18" i="2"/>
  <c r="H18" i="2" s="1"/>
  <c r="E18" i="2"/>
  <c r="O18" i="2" s="1"/>
  <c r="N17" i="2"/>
  <c r="K17" i="2"/>
  <c r="J17" i="2"/>
  <c r="I17" i="2"/>
  <c r="G17" i="2"/>
  <c r="H17" i="2" s="1"/>
  <c r="E17" i="2"/>
  <c r="O17" i="2" s="1"/>
  <c r="N16" i="2"/>
  <c r="K16" i="2"/>
  <c r="J16" i="2"/>
  <c r="I16" i="2"/>
  <c r="G16" i="2"/>
  <c r="H16" i="2" s="1"/>
  <c r="E16" i="2"/>
  <c r="O16" i="2" s="1"/>
  <c r="R15" i="2"/>
  <c r="N15" i="2"/>
  <c r="K15" i="2"/>
  <c r="I15" i="2"/>
  <c r="J15" i="2" s="1"/>
  <c r="H15" i="2"/>
  <c r="G15" i="2"/>
  <c r="F15" i="2"/>
  <c r="D15" i="2"/>
  <c r="O15" i="2" s="1"/>
  <c r="Q14" i="2"/>
  <c r="O14" i="2"/>
  <c r="L14" i="2"/>
  <c r="L34" i="2" s="1"/>
  <c r="K14" i="2"/>
  <c r="G14" i="2"/>
  <c r="H14" i="2" s="1"/>
  <c r="F14" i="2"/>
  <c r="I14" i="2" s="1"/>
  <c r="J14" i="2" s="1"/>
  <c r="D14" i="2"/>
  <c r="N13" i="2"/>
  <c r="G13" i="2"/>
  <c r="H13" i="2" s="1"/>
  <c r="E13" i="2"/>
  <c r="D13" i="2"/>
  <c r="K13" i="2" s="1"/>
  <c r="O12" i="2"/>
  <c r="N12" i="2"/>
  <c r="K12" i="2"/>
  <c r="I12" i="2"/>
  <c r="J12" i="2" s="1"/>
  <c r="E12" i="2"/>
  <c r="G12" i="2" s="1"/>
  <c r="H12" i="2" s="1"/>
  <c r="O11" i="2"/>
  <c r="N11" i="2"/>
  <c r="K11" i="2"/>
  <c r="I11" i="2"/>
  <c r="J11" i="2" s="1"/>
  <c r="E11" i="2"/>
  <c r="G11" i="2" s="1"/>
  <c r="H11" i="2" s="1"/>
  <c r="O10" i="2"/>
  <c r="N10" i="2"/>
  <c r="K10" i="2"/>
  <c r="I10" i="2"/>
  <c r="J10" i="2" s="1"/>
  <c r="H10" i="2"/>
  <c r="G10" i="2"/>
  <c r="N9" i="2"/>
  <c r="E9" i="2"/>
  <c r="O9" i="2" s="1"/>
  <c r="D9" i="2"/>
  <c r="D34" i="2" s="1"/>
  <c r="G3" i="2"/>
  <c r="G2" i="2"/>
  <c r="N30" i="1"/>
  <c r="K30" i="1"/>
  <c r="G30" i="1"/>
  <c r="D30" i="1"/>
  <c r="L30" i="1" s="1"/>
  <c r="C30" i="1"/>
  <c r="O29" i="1"/>
  <c r="L29" i="1"/>
  <c r="K29" i="1"/>
  <c r="F29" i="1"/>
  <c r="J29" i="1" s="1"/>
  <c r="E29" i="1"/>
  <c r="I29" i="1" s="1"/>
  <c r="O28" i="1"/>
  <c r="M28" i="1"/>
  <c r="L28" i="1"/>
  <c r="K28" i="1"/>
  <c r="J28" i="1"/>
  <c r="I28" i="1"/>
  <c r="H28" i="1"/>
  <c r="O27" i="1"/>
  <c r="L27" i="1"/>
  <c r="K27" i="1"/>
  <c r="J27" i="1"/>
  <c r="I27" i="1"/>
  <c r="H27" i="1"/>
  <c r="M26" i="1"/>
  <c r="O26" i="1" s="1"/>
  <c r="L26" i="1"/>
  <c r="K26" i="1"/>
  <c r="J26" i="1"/>
  <c r="I26" i="1"/>
  <c r="H26" i="1"/>
  <c r="O25" i="1"/>
  <c r="L25" i="1"/>
  <c r="K25" i="1"/>
  <c r="J25" i="1"/>
  <c r="I25" i="1"/>
  <c r="H25" i="1"/>
  <c r="O24" i="1"/>
  <c r="L24" i="1"/>
  <c r="K24" i="1"/>
  <c r="I24" i="1"/>
  <c r="H24" i="1"/>
  <c r="F24" i="1"/>
  <c r="F30" i="1" s="1"/>
  <c r="J30" i="1" s="1"/>
  <c r="O23" i="1"/>
  <c r="L23" i="1"/>
  <c r="K23" i="1"/>
  <c r="J23" i="1"/>
  <c r="E23" i="1"/>
  <c r="I23" i="1" s="1"/>
  <c r="O22" i="1"/>
  <c r="L22" i="1"/>
  <c r="K22" i="1"/>
  <c r="J22" i="1"/>
  <c r="E22" i="1"/>
  <c r="I22" i="1" s="1"/>
  <c r="O21" i="1"/>
  <c r="L21" i="1"/>
  <c r="K21" i="1"/>
  <c r="I21" i="1"/>
  <c r="H21" i="1"/>
  <c r="F21" i="1"/>
  <c r="J21" i="1" s="1"/>
  <c r="O20" i="1"/>
  <c r="L20" i="1"/>
  <c r="K20" i="1"/>
  <c r="J20" i="1"/>
  <c r="E20" i="1"/>
  <c r="I20" i="1" s="1"/>
  <c r="O19" i="1"/>
  <c r="L19" i="1"/>
  <c r="K19" i="1"/>
  <c r="J19" i="1"/>
  <c r="E19" i="1"/>
  <c r="I19" i="1" s="1"/>
  <c r="O18" i="1"/>
  <c r="L18" i="1"/>
  <c r="K18" i="1"/>
  <c r="J18" i="1"/>
  <c r="I18" i="1"/>
  <c r="E18" i="1"/>
  <c r="H18" i="1" s="1"/>
  <c r="O17" i="1"/>
  <c r="L17" i="1"/>
  <c r="K17" i="1"/>
  <c r="J17" i="1"/>
  <c r="I17" i="1"/>
  <c r="H17" i="1"/>
  <c r="O16" i="1"/>
  <c r="L16" i="1"/>
  <c r="K16" i="1"/>
  <c r="J16" i="1"/>
  <c r="E16" i="1"/>
  <c r="H16" i="1" s="1"/>
  <c r="O15" i="1"/>
  <c r="N15" i="1"/>
  <c r="L15" i="1"/>
  <c r="K15" i="1"/>
  <c r="J15" i="1"/>
  <c r="E15" i="1"/>
  <c r="H15" i="1" s="1"/>
  <c r="P14" i="1"/>
  <c r="O14" i="1"/>
  <c r="L14" i="1"/>
  <c r="K14" i="1"/>
  <c r="J14" i="1"/>
  <c r="E14" i="1"/>
  <c r="H14" i="1" s="1"/>
  <c r="O13" i="1"/>
  <c r="L13" i="1"/>
  <c r="K13" i="1"/>
  <c r="J13" i="1"/>
  <c r="E13" i="1"/>
  <c r="I13" i="1" s="1"/>
  <c r="O12" i="1"/>
  <c r="L12" i="1"/>
  <c r="K12" i="1"/>
  <c r="J12" i="1"/>
  <c r="I12" i="1"/>
  <c r="H12" i="1"/>
  <c r="E12" i="1"/>
  <c r="O11" i="1"/>
  <c r="L11" i="1"/>
  <c r="K11" i="1"/>
  <c r="J11" i="1"/>
  <c r="I11" i="1"/>
  <c r="H11" i="1"/>
  <c r="O10" i="1"/>
  <c r="M10" i="1"/>
  <c r="M30" i="1" s="1"/>
  <c r="L10" i="1"/>
  <c r="K10" i="1"/>
  <c r="J10" i="1"/>
  <c r="E10" i="1"/>
  <c r="I10" i="1" s="1"/>
  <c r="O9" i="1"/>
  <c r="L9" i="1"/>
  <c r="K9" i="1"/>
  <c r="J9" i="1"/>
  <c r="I9" i="1"/>
  <c r="E9" i="1"/>
  <c r="H9" i="1" s="1"/>
  <c r="O8" i="1"/>
  <c r="L8" i="1"/>
  <c r="K8" i="1"/>
  <c r="J8" i="1"/>
  <c r="I8" i="1"/>
  <c r="H8" i="1"/>
  <c r="E8" i="1"/>
  <c r="O7" i="1"/>
  <c r="L7" i="1"/>
  <c r="K7" i="1"/>
  <c r="J7" i="1"/>
  <c r="I7" i="1"/>
  <c r="H7" i="1"/>
  <c r="E7" i="1"/>
  <c r="O6" i="1"/>
  <c r="L6" i="1"/>
  <c r="K6" i="1"/>
  <c r="J6" i="1"/>
  <c r="I6" i="1"/>
  <c r="H6" i="1"/>
  <c r="O5" i="1"/>
  <c r="O30" i="1" s="1"/>
  <c r="L5" i="1"/>
  <c r="K5" i="1"/>
  <c r="J5" i="1"/>
  <c r="I5" i="1"/>
  <c r="H5" i="1"/>
  <c r="E5" i="1"/>
  <c r="E30" i="1" s="1"/>
  <c r="I33" i="2" l="1"/>
  <c r="J33" i="2" s="1"/>
  <c r="K33" i="2"/>
  <c r="AE33" i="3"/>
  <c r="I30" i="1"/>
  <c r="H30" i="1"/>
  <c r="H23" i="1"/>
  <c r="H13" i="1"/>
  <c r="I14" i="1"/>
  <c r="I15" i="1"/>
  <c r="I16" i="1"/>
  <c r="H22" i="1"/>
  <c r="J24" i="1"/>
  <c r="H29" i="1"/>
  <c r="N14" i="2"/>
  <c r="N34" i="2" s="1"/>
  <c r="O26" i="2"/>
  <c r="F34" i="2"/>
  <c r="I9" i="2"/>
  <c r="J9" i="2" s="1"/>
  <c r="I19" i="2"/>
  <c r="J19" i="2" s="1"/>
  <c r="O31" i="2"/>
  <c r="V33" i="3"/>
  <c r="O13" i="2"/>
  <c r="H20" i="1"/>
  <c r="V9" i="3"/>
  <c r="W9" i="3" s="1"/>
  <c r="V11" i="3"/>
  <c r="W11" i="3" s="1"/>
  <c r="V13" i="3"/>
  <c r="W13" i="3" s="1"/>
  <c r="V15" i="3"/>
  <c r="W15" i="3" s="1"/>
  <c r="V17" i="3"/>
  <c r="W17" i="3" s="1"/>
  <c r="V19" i="3"/>
  <c r="W19" i="3" s="1"/>
  <c r="V21" i="3"/>
  <c r="W21" i="3" s="1"/>
  <c r="V23" i="3"/>
  <c r="W23" i="3" s="1"/>
  <c r="V25" i="3"/>
  <c r="W25" i="3" s="1"/>
  <c r="V27" i="3"/>
  <c r="W27" i="3" s="1"/>
  <c r="V29" i="3"/>
  <c r="W29" i="3" s="1"/>
  <c r="H10" i="1"/>
  <c r="H19" i="1"/>
  <c r="K9" i="2"/>
  <c r="I13" i="2"/>
  <c r="J13" i="2" s="1"/>
  <c r="AE8" i="3"/>
  <c r="G9" i="2"/>
  <c r="H9" i="2" s="1"/>
  <c r="Q9" i="2"/>
  <c r="R9" i="2" s="1"/>
  <c r="E34" i="2"/>
  <c r="G34" i="2" s="1"/>
  <c r="H34" i="2" s="1"/>
  <c r="K34" i="2" l="1"/>
  <c r="I34" i="2"/>
  <c r="J34" i="2" s="1"/>
</calcChain>
</file>

<file path=xl/sharedStrings.xml><?xml version="1.0" encoding="utf-8"?>
<sst xmlns="http://schemas.openxmlformats.org/spreadsheetml/2006/main" count="163" uniqueCount="79">
  <si>
    <t>Дистанционный съем показаний коммерческого учета за август</t>
  </si>
  <si>
    <t>№ п/п</t>
  </si>
  <si>
    <t>Филиал</t>
  </si>
  <si>
    <t>Всего Т.У в дистанционном съеме.
 шт.</t>
  </si>
  <si>
    <t>В том числе в Пирамиде
(не Ридер).
 шт.</t>
  </si>
  <si>
    <t>Сняты показания и переданы  в сбыт.
шт.</t>
  </si>
  <si>
    <t>В том числе по УСПД (не Ридер).
шт.</t>
  </si>
  <si>
    <t>Отклонение
5-3</t>
  </si>
  <si>
    <t>Отклонение
 6-4</t>
  </si>
  <si>
    <t>шт.</t>
  </si>
  <si>
    <t>%.</t>
  </si>
  <si>
    <t>Тех учеты в пирамиде</t>
  </si>
  <si>
    <t>факт по пирамиде</t>
  </si>
  <si>
    <t>Абинск</t>
  </si>
  <si>
    <t>Анапа</t>
  </si>
  <si>
    <t>Апшеронск</t>
  </si>
  <si>
    <t>Армавир</t>
  </si>
  <si>
    <t>Белореченск</t>
  </si>
  <si>
    <t>Геленджик</t>
  </si>
  <si>
    <t>Горячий Ключ</t>
  </si>
  <si>
    <t>Гулькевичи</t>
  </si>
  <si>
    <t>Ейск</t>
  </si>
  <si>
    <t>Кореновск</t>
  </si>
  <si>
    <t>Краснодар</t>
  </si>
  <si>
    <t>Кропоткин</t>
  </si>
  <si>
    <t>Крымск</t>
  </si>
  <si>
    <t>Курганинск</t>
  </si>
  <si>
    <t>Лабинск</t>
  </si>
  <si>
    <t>Мостовской</t>
  </si>
  <si>
    <t>Новокубанск</t>
  </si>
  <si>
    <t>Новороссийск</t>
  </si>
  <si>
    <t>Приморско-Ахтарск</t>
  </si>
  <si>
    <t>Славянск</t>
  </si>
  <si>
    <t>Темрюк</t>
  </si>
  <si>
    <t>Тимашевск</t>
  </si>
  <si>
    <t>Тихорецк</t>
  </si>
  <si>
    <t>Туапсе</t>
  </si>
  <si>
    <t>Усть-Лабинск</t>
  </si>
  <si>
    <t>ИТОГО:</t>
  </si>
  <si>
    <t>ЮЛ мерк потр</t>
  </si>
  <si>
    <t>ЮЛ мерк ТП</t>
  </si>
  <si>
    <t>ЮЛ каскад</t>
  </si>
  <si>
    <t xml:space="preserve">ФЛ мерк </t>
  </si>
  <si>
    <t>ФЛ каскад</t>
  </si>
  <si>
    <t>В том числе по УСПД (не Ридер).
 шт.</t>
  </si>
  <si>
    <t xml:space="preserve">Приложение 3 </t>
  </si>
  <si>
    <t>Отчетная форма за Август 2023</t>
  </si>
  <si>
    <t>Коммерческий учет (ЮР+БЫТ+ОДПУ)</t>
  </si>
  <si>
    <t>Технический учет
(ТП на балансе филиала)</t>
  </si>
  <si>
    <t>Всего Т.У.с возможностью дистанционного съема показан, шт.  (ЮР+БЫТ+ОДПУ)</t>
  </si>
  <si>
    <t>Всего Т.У.с возможностью дистанционного съема показан, шт.</t>
  </si>
  <si>
    <t>Всего сняты показания и переданы в сбыт по точкам</t>
  </si>
  <si>
    <t xml:space="preserve"> ФИЗ. ЛИЦА</t>
  </si>
  <si>
    <t xml:space="preserve"> ЮР. ЛИЦА</t>
  </si>
  <si>
    <t>ОДПУ</t>
  </si>
  <si>
    <t>Точки учета  с возможностью съема через ПО (не ридер), шт.</t>
  </si>
  <si>
    <t>Сняты показания и переданы в сбыт по точкам из ПО (не ридер), шт.</t>
  </si>
  <si>
    <t>Сняты показания и переданы в сбыт по точкам  через ридер, шт.</t>
  </si>
  <si>
    <t>Кол-во точек учета  с возможностью съема через ридер, шт.</t>
  </si>
  <si>
    <t>Сняты показания ридером Т.У. и переданы в сбыт, шт.</t>
  </si>
  <si>
    <t>Итого сняты показания и переданы в сбыт, шт.</t>
  </si>
  <si>
    <t>Итого сняты показания и переданы в сбыт, шт. ФИЗ. ЛИЦА</t>
  </si>
  <si>
    <t>Итого сняты показания и переданы в сбыт, шт. ОДПУ+ЮР. ЛИЦА</t>
  </si>
  <si>
    <t>Отклонение
3-7</t>
  </si>
  <si>
    <t>% опроса</t>
  </si>
  <si>
    <t xml:space="preserve">Всего оснащено ТП  </t>
  </si>
  <si>
    <t>Опрос на текущий месяц</t>
  </si>
  <si>
    <t xml:space="preserve">Примечание    (указать реальные причины  низкого процента опроса, если ниже 90%, возможные пути решения и необходимое оборудование)                 </t>
  </si>
  <si>
    <t>Отклонение
5-4</t>
  </si>
  <si>
    <t>Всего</t>
  </si>
  <si>
    <t>в ПО</t>
  </si>
  <si>
    <t xml:space="preserve">  ЮР. ЛИЦА</t>
  </si>
  <si>
    <t>%</t>
  </si>
  <si>
    <t>17=3-10</t>
  </si>
  <si>
    <t>Без учета отключенных %</t>
  </si>
  <si>
    <t>Технический учет - 3 шт. не под напряжением</t>
  </si>
  <si>
    <t>Директор филиала</t>
  </si>
  <si>
    <t>___________________</t>
  </si>
  <si>
    <t>Р.О. Сергеев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</si>
</sst>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_р_._-;\-* #,##0.00_р_._-;_-* \-??_р_._-;_-@_-"/>
    <numFmt numFmtId="165" formatCode="000000"/>
  </numFmts>
  <fonts count="31" x14ac:knownFonts="1">
    <font>
      <sz val="11"/>
      <color rgb="FF000000"/>
      <name val="Calibri"/>
      <family val="2"/>
      <charset val="204"/>
    </font>
    <font>
      <sz val="10"/>
      <color rgb="FF000000"/>
      <name val="Arial"/>
      <family val="2"/>
      <charset val="204"/>
    </font>
    <font>
      <b/>
      <sz val="12"/>
      <color rgb="FF080000"/>
      <name val="Arial"/>
      <family val="2"/>
      <charset val="204"/>
    </font>
    <font>
      <sz val="8"/>
      <color rgb="FF080000"/>
      <name val="Arial"/>
      <family val="2"/>
      <charset val="204"/>
    </font>
    <font>
      <b/>
      <sz val="8"/>
      <color rgb="FF080000"/>
      <name val="Arial"/>
      <family val="2"/>
      <charset val="204"/>
    </font>
    <font>
      <sz val="6"/>
      <color rgb="FF080000"/>
      <name val="Arial"/>
      <family val="2"/>
      <charset val="204"/>
    </font>
    <font>
      <sz val="7"/>
      <color rgb="FF080000"/>
      <name val="Arial"/>
      <family val="2"/>
      <charset val="204"/>
    </font>
    <font>
      <sz val="9"/>
      <color rgb="FF080000"/>
      <name val="Arial"/>
      <family val="2"/>
      <charset val="204"/>
    </font>
    <font>
      <sz val="10"/>
      <name val="Arial"/>
      <family val="2"/>
      <charset val="204"/>
    </font>
    <font>
      <sz val="11"/>
      <color rgb="FF000000"/>
      <name val="Calibri"/>
      <family val="2"/>
      <charset val="1"/>
    </font>
    <font>
      <sz val="10"/>
      <name val="Arial Cyr"/>
      <charset val="204"/>
    </font>
    <font>
      <sz val="11"/>
      <color rgb="FF000000"/>
      <name val="Times New Roman"/>
      <family val="1"/>
      <charset val="204"/>
    </font>
    <font>
      <b/>
      <sz val="20"/>
      <color rgb="FF000000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b/>
      <sz val="11"/>
      <color rgb="FF000000"/>
      <name val="Times New Roman"/>
      <family val="1"/>
      <charset val="204"/>
    </font>
    <font>
      <sz val="11"/>
      <color rgb="FFFFFFFF"/>
      <name val="Calibri"/>
      <family val="2"/>
      <charset val="204"/>
    </font>
    <font>
      <b/>
      <sz val="16"/>
      <color rgb="FF000000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name val="Calibri"/>
      <family val="2"/>
      <charset val="204"/>
    </font>
    <font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sz val="14"/>
      <color rgb="FFFF0000"/>
      <name val="Times New Roman"/>
      <family val="1"/>
      <charset val="204"/>
    </font>
    <font>
      <sz val="12"/>
      <name val="Times New Roman"/>
      <family val="1"/>
      <charset val="204"/>
    </font>
    <font>
      <sz val="12"/>
      <color rgb="FFFF0000"/>
      <name val="Times New Roman"/>
      <family val="1"/>
      <charset val="204"/>
    </font>
    <font>
      <sz val="11"/>
      <color rgb="FFFF0000"/>
      <name val="Calibri"/>
      <family val="2"/>
      <charset val="204"/>
    </font>
    <font>
      <b/>
      <u/>
      <sz val="12"/>
      <name val="Times New Roman"/>
      <family val="1"/>
      <charset val="204"/>
    </font>
    <font>
      <b/>
      <sz val="16"/>
      <color rgb="FF000000"/>
      <name val="Calibri"/>
      <family val="2"/>
      <charset val="204"/>
    </font>
    <font>
      <sz val="16"/>
      <color rgb="FFFFFFFF"/>
      <name val="Times New Roman"/>
      <family val="1"/>
      <charset val="204"/>
    </font>
    <font>
      <sz val="11"/>
      <color rgb="FF000000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</fills>
  <borders count="1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9">
    <xf numFmtId="0" fontId="0" fillId="0" borderId="0"/>
    <xf numFmtId="164" fontId="30" fillId="0" borderId="0"/>
    <xf numFmtId="9" fontId="30" fillId="0" borderId="0"/>
    <xf numFmtId="0" fontId="1" fillId="2" borderId="0">
      <alignment horizontal="left" vertical="top"/>
    </xf>
    <xf numFmtId="0" fontId="2" fillId="2" borderId="0">
      <alignment horizontal="center" vertical="top"/>
    </xf>
    <xf numFmtId="0" fontId="3" fillId="2" borderId="0">
      <alignment horizontal="left" vertical="center"/>
    </xf>
    <xf numFmtId="0" fontId="1" fillId="2" borderId="0">
      <alignment horizontal="left" vertical="top"/>
    </xf>
    <xf numFmtId="0" fontId="3" fillId="2" borderId="0">
      <alignment horizontal="center" vertical="center"/>
    </xf>
    <xf numFmtId="0" fontId="4" fillId="2" borderId="0">
      <alignment horizontal="center" vertical="center"/>
    </xf>
    <xf numFmtId="0" fontId="5" fillId="2" borderId="0">
      <alignment horizontal="center" vertical="center"/>
    </xf>
    <xf numFmtId="0" fontId="5" fillId="2" borderId="0">
      <alignment horizontal="left" vertical="center"/>
    </xf>
    <xf numFmtId="0" fontId="6" fillId="2" borderId="0">
      <alignment horizontal="center" vertical="center"/>
    </xf>
    <xf numFmtId="0" fontId="7" fillId="2" borderId="0">
      <alignment horizontal="center" vertical="center"/>
    </xf>
    <xf numFmtId="0" fontId="8" fillId="0" borderId="0"/>
    <xf numFmtId="0" fontId="30" fillId="0" borderId="0"/>
    <xf numFmtId="0" fontId="30" fillId="0" borderId="0"/>
    <xf numFmtId="0" fontId="30" fillId="0" borderId="0"/>
    <xf numFmtId="0" fontId="9" fillId="0" borderId="0"/>
    <xf numFmtId="0" fontId="8" fillId="0" borderId="0"/>
    <xf numFmtId="0" fontId="10" fillId="0" borderId="0"/>
    <xf numFmtId="0" fontId="30" fillId="0" borderId="0"/>
    <xf numFmtId="0" fontId="30" fillId="0" borderId="0"/>
    <xf numFmtId="0" fontId="1" fillId="0" borderId="0"/>
    <xf numFmtId="0" fontId="30" fillId="0" borderId="0"/>
    <xf numFmtId="0" fontId="30" fillId="0" borderId="0"/>
    <xf numFmtId="0" fontId="9" fillId="0" borderId="0"/>
    <xf numFmtId="0" fontId="9" fillId="0" borderId="0"/>
    <xf numFmtId="0" fontId="9" fillId="0" borderId="0"/>
    <xf numFmtId="0" fontId="9" fillId="0" borderId="0"/>
  </cellStyleXfs>
  <cellXfs count="94">
    <xf numFmtId="0" fontId="0" fillId="0" borderId="0" xfId="0"/>
    <xf numFmtId="0" fontId="11" fillId="0" borderId="0" xfId="0" applyFont="1"/>
    <xf numFmtId="0" fontId="0" fillId="0" borderId="0" xfId="0" applyFont="1"/>
    <xf numFmtId="0" fontId="13" fillId="0" borderId="2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0" borderId="0" xfId="0" applyFont="1" applyAlignment="1">
      <alignment vertical="center"/>
    </xf>
    <xf numFmtId="0" fontId="14" fillId="0" borderId="2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left" vertical="center"/>
    </xf>
    <xf numFmtId="3" fontId="11" fillId="0" borderId="2" xfId="0" applyNumberFormat="1" applyFont="1" applyBorder="1" applyAlignment="1">
      <alignment horizontal="center" vertical="center"/>
    </xf>
    <xf numFmtId="9" fontId="11" fillId="0" borderId="2" xfId="2" applyFont="1" applyBorder="1" applyAlignment="1">
      <alignment horizontal="center" vertical="center"/>
    </xf>
    <xf numFmtId="3" fontId="11" fillId="0" borderId="0" xfId="0" applyNumberFormat="1" applyFont="1" applyAlignment="1">
      <alignment horizontal="center" vertical="center"/>
    </xf>
    <xf numFmtId="3" fontId="0" fillId="0" borderId="0" xfId="0" applyNumberFormat="1" applyFont="1"/>
    <xf numFmtId="3" fontId="11" fillId="0" borderId="0" xfId="0" applyNumberFormat="1" applyFont="1"/>
    <xf numFmtId="0" fontId="13" fillId="2" borderId="2" xfId="0" applyFont="1" applyFill="1" applyBorder="1" applyAlignment="1">
      <alignment horizontal="left" vertical="center" wrapText="1"/>
    </xf>
    <xf numFmtId="3" fontId="14" fillId="0" borderId="2" xfId="1" applyNumberFormat="1" applyFont="1" applyBorder="1" applyAlignment="1">
      <alignment horizontal="center" vertical="center"/>
    </xf>
    <xf numFmtId="3" fontId="14" fillId="0" borderId="2" xfId="0" applyNumberFormat="1" applyFont="1" applyBorder="1" applyAlignment="1">
      <alignment horizontal="center" vertical="center"/>
    </xf>
    <xf numFmtId="9" fontId="14" fillId="0" borderId="2" xfId="2" applyFont="1" applyBorder="1" applyAlignment="1">
      <alignment horizontal="center" vertical="center"/>
    </xf>
    <xf numFmtId="9" fontId="14" fillId="0" borderId="4" xfId="2" applyFont="1" applyBorder="1" applyAlignment="1">
      <alignment horizontal="center" vertical="center"/>
    </xf>
    <xf numFmtId="0" fontId="0" fillId="0" borderId="0" xfId="0" applyFont="1" applyAlignment="1">
      <alignment wrapText="1"/>
    </xf>
    <xf numFmtId="17" fontId="0" fillId="0" borderId="0" xfId="0" applyNumberFormat="1" applyFont="1"/>
    <xf numFmtId="0" fontId="12" fillId="0" borderId="1" xfId="0" applyFont="1" applyBorder="1" applyAlignment="1">
      <alignment vertical="center"/>
    </xf>
    <xf numFmtId="0" fontId="12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11" fillId="0" borderId="5" xfId="0" applyFont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0" fillId="0" borderId="0" xfId="0" applyFont="1" applyAlignment="1">
      <alignment horizontal="left"/>
    </xf>
    <xf numFmtId="0" fontId="16" fillId="0" borderId="0" xfId="0" applyFont="1"/>
    <xf numFmtId="0" fontId="0" fillId="0" borderId="0" xfId="0" applyFont="1" applyAlignment="1">
      <alignment horizontal="right"/>
    </xf>
    <xf numFmtId="0" fontId="17" fillId="0" borderId="0" xfId="0" applyFont="1" applyAlignment="1">
      <alignment vertical="center"/>
    </xf>
    <xf numFmtId="0" fontId="14" fillId="0" borderId="2" xfId="0" applyFont="1" applyBorder="1" applyAlignment="1">
      <alignment horizontal="center" vertical="center" wrapText="1"/>
    </xf>
    <xf numFmtId="0" fontId="0" fillId="0" borderId="2" xfId="0" applyFont="1" applyBorder="1"/>
    <xf numFmtId="0" fontId="19" fillId="0" borderId="2" xfId="0" applyFont="1" applyBorder="1" applyAlignment="1">
      <alignment horizontal="center" vertical="center"/>
    </xf>
    <xf numFmtId="0" fontId="19" fillId="0" borderId="2" xfId="0" applyFont="1" applyBorder="1" applyAlignment="1">
      <alignment horizontal="center" vertical="center" wrapText="1"/>
    </xf>
    <xf numFmtId="0" fontId="20" fillId="0" borderId="2" xfId="0" applyFont="1" applyBorder="1"/>
    <xf numFmtId="0" fontId="21" fillId="0" borderId="2" xfId="0" applyFont="1" applyBorder="1" applyAlignment="1">
      <alignment horizontal="center" vertical="center"/>
    </xf>
    <xf numFmtId="0" fontId="21" fillId="0" borderId="7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4" fillId="2" borderId="2" xfId="0" applyFont="1" applyFill="1" applyBorder="1" applyAlignment="1">
      <alignment horizontal="center" vertical="center"/>
    </xf>
    <xf numFmtId="0" fontId="24" fillId="2" borderId="2" xfId="0" applyFont="1" applyFill="1" applyBorder="1" applyAlignment="1">
      <alignment horizontal="left" vertical="center"/>
    </xf>
    <xf numFmtId="3" fontId="21" fillId="0" borderId="2" xfId="0" applyNumberFormat="1" applyFont="1" applyBorder="1" applyAlignment="1">
      <alignment horizontal="center" vertical="center"/>
    </xf>
    <xf numFmtId="3" fontId="21" fillId="3" borderId="2" xfId="0" applyNumberFormat="1" applyFont="1" applyFill="1" applyBorder="1" applyAlignment="1">
      <alignment horizontal="center" vertical="center"/>
    </xf>
    <xf numFmtId="3" fontId="21" fillId="0" borderId="7" xfId="0" applyNumberFormat="1" applyFont="1" applyBorder="1" applyAlignment="1">
      <alignment horizontal="center" vertical="center"/>
    </xf>
    <xf numFmtId="9" fontId="21" fillId="0" borderId="2" xfId="2" applyFont="1" applyBorder="1" applyAlignment="1">
      <alignment horizontal="center" vertical="center"/>
    </xf>
    <xf numFmtId="3" fontId="21" fillId="0" borderId="6" xfId="0" applyNumberFormat="1" applyFont="1" applyBorder="1" applyAlignment="1">
      <alignment horizontal="center" vertical="center"/>
    </xf>
    <xf numFmtId="0" fontId="0" fillId="0" borderId="2" xfId="0" applyFont="1" applyBorder="1" applyAlignment="1">
      <alignment wrapText="1"/>
    </xf>
    <xf numFmtId="0" fontId="25" fillId="2" borderId="2" xfId="0" applyFont="1" applyFill="1" applyBorder="1" applyAlignment="1">
      <alignment horizontal="left" vertical="center"/>
    </xf>
    <xf numFmtId="0" fontId="0" fillId="0" borderId="2" xfId="0" applyFont="1" applyBorder="1" applyAlignment="1">
      <alignment vertical="center" wrapText="1"/>
    </xf>
    <xf numFmtId="0" fontId="11" fillId="0" borderId="2" xfId="0" applyFont="1" applyBorder="1" applyAlignment="1">
      <alignment horizontal="left" vertical="distributed" wrapText="1"/>
    </xf>
    <xf numFmtId="0" fontId="26" fillId="0" borderId="2" xfId="0" applyFont="1" applyBorder="1" applyAlignment="1">
      <alignment wrapText="1"/>
    </xf>
    <xf numFmtId="0" fontId="11" fillId="0" borderId="2" xfId="0" applyFont="1" applyBorder="1" applyAlignment="1">
      <alignment vertical="center" wrapText="1"/>
    </xf>
    <xf numFmtId="0" fontId="20" fillId="0" borderId="2" xfId="0" applyFont="1" applyBorder="1" applyAlignment="1">
      <alignment wrapText="1"/>
    </xf>
    <xf numFmtId="0" fontId="24" fillId="2" borderId="2" xfId="0" applyFont="1" applyFill="1" applyBorder="1" applyAlignment="1">
      <alignment horizontal="left" vertical="center" wrapText="1"/>
    </xf>
    <xf numFmtId="0" fontId="27" fillId="2" borderId="2" xfId="0" applyFont="1" applyFill="1" applyBorder="1" applyAlignment="1">
      <alignment horizontal="left" vertical="center"/>
    </xf>
    <xf numFmtId="49" fontId="11" fillId="0" borderId="2" xfId="0" applyNumberFormat="1" applyFont="1" applyBorder="1" applyAlignment="1">
      <alignment horizontal="center" vertical="center" wrapText="1"/>
    </xf>
    <xf numFmtId="9" fontId="0" fillId="3" borderId="0" xfId="2" applyFont="1" applyFill="1"/>
    <xf numFmtId="3" fontId="11" fillId="0" borderId="7" xfId="0" applyNumberFormat="1" applyFont="1" applyBorder="1" applyAlignment="1">
      <alignment horizontal="center" vertical="center"/>
    </xf>
    <xf numFmtId="3" fontId="14" fillId="0" borderId="7" xfId="1" applyNumberFormat="1" applyFont="1" applyBorder="1" applyAlignment="1">
      <alignment horizontal="center" vertical="center"/>
    </xf>
    <xf numFmtId="3" fontId="19" fillId="0" borderId="2" xfId="1" applyNumberFormat="1" applyFont="1" applyBorder="1" applyAlignment="1">
      <alignment horizontal="center" vertical="center"/>
    </xf>
    <xf numFmtId="3" fontId="14" fillId="0" borderId="6" xfId="1" applyNumberFormat="1" applyFont="1" applyBorder="1" applyAlignment="1">
      <alignment horizontal="center" vertical="center"/>
    </xf>
    <xf numFmtId="3" fontId="15" fillId="0" borderId="2" xfId="0" applyNumberFormat="1" applyFont="1" applyBorder="1" applyAlignment="1">
      <alignment horizontal="center" vertical="center"/>
    </xf>
    <xf numFmtId="9" fontId="15" fillId="0" borderId="2" xfId="2" applyFont="1" applyBorder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3" fontId="14" fillId="0" borderId="0" xfId="1" applyNumberFormat="1" applyFont="1" applyAlignment="1">
      <alignment horizontal="center" vertical="center"/>
    </xf>
    <xf numFmtId="3" fontId="19" fillId="0" borderId="0" xfId="1" applyNumberFormat="1" applyFont="1" applyAlignment="1">
      <alignment horizontal="center" vertical="center"/>
    </xf>
    <xf numFmtId="3" fontId="15" fillId="0" borderId="0" xfId="0" applyNumberFormat="1" applyFont="1" applyAlignment="1">
      <alignment horizontal="center" vertical="center"/>
    </xf>
    <xf numFmtId="9" fontId="15" fillId="0" borderId="0" xfId="2" applyFont="1" applyAlignment="1">
      <alignment horizontal="center" vertical="center"/>
    </xf>
    <xf numFmtId="0" fontId="28" fillId="0" borderId="0" xfId="0" applyFont="1"/>
    <xf numFmtId="3" fontId="29" fillId="0" borderId="0" xfId="1" applyNumberFormat="1" applyFont="1" applyAlignment="1">
      <alignment horizontal="left" vertical="center"/>
    </xf>
    <xf numFmtId="0" fontId="11" fillId="0" borderId="0" xfId="0" applyFont="1" applyBorder="1" applyAlignment="1">
      <alignment horizontal="center" vertical="center" wrapText="1"/>
    </xf>
    <xf numFmtId="0" fontId="14" fillId="2" borderId="2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165" fontId="28" fillId="0" borderId="0" xfId="0" applyNumberFormat="1" applyFont="1" applyBorder="1"/>
    <xf numFmtId="0" fontId="11" fillId="0" borderId="6" xfId="0" applyFont="1" applyBorder="1" applyAlignment="1">
      <alignment horizontal="center" vertical="center" wrapText="1"/>
    </xf>
    <xf numFmtId="0" fontId="23" fillId="0" borderId="2" xfId="0" applyFont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 wrapText="1"/>
    </xf>
    <xf numFmtId="0" fontId="18" fillId="0" borderId="2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 wrapText="1"/>
    </xf>
    <xf numFmtId="0" fontId="21" fillId="0" borderId="2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left"/>
    </xf>
    <xf numFmtId="0" fontId="17" fillId="0" borderId="1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 wrapText="1"/>
    </xf>
    <xf numFmtId="0" fontId="21" fillId="3" borderId="2" xfId="0" applyNumberFormat="1" applyFont="1" applyFill="1" applyBorder="1" applyAlignment="1">
      <alignment horizontal="center" vertical="center"/>
    </xf>
  </cellXfs>
  <cellStyles count="29">
    <cellStyle name="S0" xfId="3"/>
    <cellStyle name="S1" xfId="4"/>
    <cellStyle name="S2" xfId="5"/>
    <cellStyle name="S3" xfId="6"/>
    <cellStyle name="S4" xfId="7"/>
    <cellStyle name="S5" xfId="8"/>
    <cellStyle name="S6" xfId="9"/>
    <cellStyle name="S7" xfId="10"/>
    <cellStyle name="S8" xfId="11"/>
    <cellStyle name="S9" xfId="12"/>
    <cellStyle name="Обычный" xfId="0" builtinId="0"/>
    <cellStyle name="Обычный 10" xfId="13"/>
    <cellStyle name="Обычный 11" xfId="14"/>
    <cellStyle name="Обычный 12" xfId="15"/>
    <cellStyle name="Обычный 13" xfId="16"/>
    <cellStyle name="Обычный 14" xfId="17"/>
    <cellStyle name="Обычный 2" xfId="18"/>
    <cellStyle name="Обычный 2 2" xfId="19"/>
    <cellStyle name="Обычный 3" xfId="20"/>
    <cellStyle name="Обычный 3 2" xfId="21"/>
    <cellStyle name="Обычный 4" xfId="22"/>
    <cellStyle name="Обычный 5" xfId="23"/>
    <cellStyle name="Обычный 5 2" xfId="24"/>
    <cellStyle name="Обычный 6" xfId="25"/>
    <cellStyle name="Обычный 7" xfId="26"/>
    <cellStyle name="Обычный 8" xfId="27"/>
    <cellStyle name="Обычный 9" xfId="28"/>
    <cellStyle name="Процентный" xfId="2" builtinId="5"/>
    <cellStyle name="Финансовый" xfId="1" builtinId="3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800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J33"/>
  <sheetViews>
    <sheetView view="pageBreakPreview" zoomScale="90" zoomScaleNormal="100" zoomScalePageLayoutView="90" workbookViewId="0">
      <selection activeCell="A24" sqref="A24"/>
    </sheetView>
  </sheetViews>
  <sheetFormatPr defaultColWidth="9.140625" defaultRowHeight="15" x14ac:dyDescent="0.25"/>
  <cols>
    <col min="1" max="1" width="4.5703125" style="1" customWidth="1"/>
    <col min="2" max="2" width="22" style="1" customWidth="1"/>
    <col min="3" max="5" width="23.5703125" style="1" customWidth="1"/>
    <col min="6" max="6" width="23.5703125" style="1" hidden="1" customWidth="1"/>
    <col min="7" max="7" width="23.5703125" style="1" customWidth="1"/>
    <col min="8" max="10" width="12.140625" style="1" customWidth="1"/>
    <col min="11" max="11" width="12.140625" style="1" hidden="1" customWidth="1"/>
    <col min="12" max="12" width="12.140625" style="1" customWidth="1"/>
    <col min="13" max="13" width="11.28515625" style="1" customWidth="1"/>
    <col min="14" max="14" width="9.140625" style="1"/>
    <col min="15" max="15" width="11.140625" style="1" customWidth="1"/>
    <col min="16" max="16" width="9.140625" style="2"/>
    <col min="17" max="1024" width="9.140625" style="1"/>
  </cols>
  <sheetData>
    <row r="1" spans="1:17" ht="40.5" customHeight="1" x14ac:dyDescent="0.25">
      <c r="A1" s="77" t="s">
        <v>0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</row>
    <row r="2" spans="1:17" ht="36" customHeight="1" x14ac:dyDescent="0.25">
      <c r="A2" s="78" t="s">
        <v>1</v>
      </c>
      <c r="B2" s="79" t="s">
        <v>2</v>
      </c>
      <c r="C2" s="78" t="s">
        <v>3</v>
      </c>
      <c r="D2" s="80" t="s">
        <v>4</v>
      </c>
      <c r="E2" s="80" t="s">
        <v>5</v>
      </c>
      <c r="F2" s="80" t="s">
        <v>6</v>
      </c>
      <c r="G2" s="80" t="s">
        <v>4</v>
      </c>
      <c r="H2" s="80" t="s">
        <v>7</v>
      </c>
      <c r="I2" s="80"/>
      <c r="J2" s="80" t="s">
        <v>8</v>
      </c>
      <c r="K2" s="80"/>
      <c r="L2" s="4"/>
    </row>
    <row r="3" spans="1:17" ht="18.75" customHeight="1" x14ac:dyDescent="0.25">
      <c r="A3" s="78"/>
      <c r="B3" s="78"/>
      <c r="C3" s="78"/>
      <c r="D3" s="78"/>
      <c r="E3" s="78"/>
      <c r="F3" s="78"/>
      <c r="G3" s="78"/>
      <c r="H3" s="5" t="s">
        <v>9</v>
      </c>
      <c r="I3" s="5" t="s">
        <v>10</v>
      </c>
      <c r="J3" s="6" t="s">
        <v>9</v>
      </c>
      <c r="K3" s="6" t="s">
        <v>10</v>
      </c>
      <c r="L3" s="6"/>
      <c r="M3" s="75" t="s">
        <v>11</v>
      </c>
      <c r="N3" s="7"/>
      <c r="O3" s="75" t="s">
        <v>12</v>
      </c>
    </row>
    <row r="4" spans="1:17" ht="20.25" customHeight="1" x14ac:dyDescent="0.25">
      <c r="A4" s="8">
        <v>1</v>
      </c>
      <c r="B4" s="8">
        <v>2</v>
      </c>
      <c r="C4" s="9">
        <v>3</v>
      </c>
      <c r="D4" s="9">
        <v>4</v>
      </c>
      <c r="E4" s="9">
        <v>5</v>
      </c>
      <c r="F4" s="9">
        <v>6</v>
      </c>
      <c r="G4" s="9">
        <v>6</v>
      </c>
      <c r="H4" s="9">
        <v>7</v>
      </c>
      <c r="I4" s="9">
        <v>8</v>
      </c>
      <c r="J4" s="9">
        <v>9</v>
      </c>
      <c r="K4" s="9">
        <v>10</v>
      </c>
      <c r="L4" s="9">
        <v>10</v>
      </c>
      <c r="M4" s="75"/>
      <c r="N4" s="7"/>
      <c r="O4" s="75"/>
    </row>
    <row r="5" spans="1:17" ht="18.75" customHeight="1" x14ac:dyDescent="0.25">
      <c r="A5" s="10">
        <v>1</v>
      </c>
      <c r="B5" s="11" t="s">
        <v>13</v>
      </c>
      <c r="C5" s="12">
        <v>715</v>
      </c>
      <c r="D5" s="12">
        <v>344</v>
      </c>
      <c r="E5" s="12">
        <f>663+33</f>
        <v>696</v>
      </c>
      <c r="F5" s="12">
        <v>273</v>
      </c>
      <c r="G5" s="12">
        <v>38</v>
      </c>
      <c r="H5" s="12">
        <f t="shared" ref="H5:H30" si="0">E5-C5</f>
        <v>-19</v>
      </c>
      <c r="I5" s="13">
        <f t="shared" ref="I5:I30" si="1">E5/C5</f>
        <v>0.97342657342657346</v>
      </c>
      <c r="J5" s="12">
        <f t="shared" ref="J5:J30" si="2">F5-D5</f>
        <v>-71</v>
      </c>
      <c r="K5" s="13">
        <f t="shared" ref="K5:K30" si="3">G5/D5</f>
        <v>0.11046511627906977</v>
      </c>
      <c r="L5" s="13">
        <f t="shared" ref="L5:L30" si="4">G5/D5</f>
        <v>0.11046511627906977</v>
      </c>
      <c r="M5" s="14">
        <v>129</v>
      </c>
      <c r="N5" s="14">
        <v>167</v>
      </c>
      <c r="O5" s="14">
        <f t="shared" ref="O5:O29" si="5">N5-M5</f>
        <v>38</v>
      </c>
      <c r="P5" s="15"/>
      <c r="Q5" s="16"/>
    </row>
    <row r="6" spans="1:17" ht="18.75" customHeight="1" x14ac:dyDescent="0.25">
      <c r="A6" s="10">
        <v>2</v>
      </c>
      <c r="B6" s="11" t="s">
        <v>14</v>
      </c>
      <c r="C6" s="12">
        <v>5003</v>
      </c>
      <c r="D6" s="12">
        <v>4994</v>
      </c>
      <c r="E6" s="12">
        <v>4136</v>
      </c>
      <c r="F6" s="12">
        <v>4136</v>
      </c>
      <c r="G6" s="12">
        <v>372</v>
      </c>
      <c r="H6" s="12">
        <f t="shared" si="0"/>
        <v>-867</v>
      </c>
      <c r="I6" s="13">
        <f t="shared" si="1"/>
        <v>0.82670397761343195</v>
      </c>
      <c r="J6" s="12">
        <f t="shared" si="2"/>
        <v>-858</v>
      </c>
      <c r="K6" s="13">
        <f t="shared" si="3"/>
        <v>7.4489387264717655E-2</v>
      </c>
      <c r="L6" s="13">
        <f t="shared" si="4"/>
        <v>7.4489387264717655E-2</v>
      </c>
      <c r="M6" s="14">
        <v>252</v>
      </c>
      <c r="N6" s="14">
        <v>624</v>
      </c>
      <c r="O6" s="14">
        <f t="shared" si="5"/>
        <v>372</v>
      </c>
      <c r="P6" s="15"/>
      <c r="Q6" s="16"/>
    </row>
    <row r="7" spans="1:17" ht="18.75" customHeight="1" x14ac:dyDescent="0.25">
      <c r="A7" s="10">
        <v>3</v>
      </c>
      <c r="B7" s="11" t="s">
        <v>15</v>
      </c>
      <c r="C7" s="12">
        <v>2150</v>
      </c>
      <c r="D7" s="12">
        <v>1507</v>
      </c>
      <c r="E7" s="12">
        <f>1915+71</f>
        <v>1986</v>
      </c>
      <c r="F7" s="12">
        <v>1205</v>
      </c>
      <c r="G7" s="12">
        <v>1138</v>
      </c>
      <c r="H7" s="12">
        <f t="shared" si="0"/>
        <v>-164</v>
      </c>
      <c r="I7" s="13">
        <f t="shared" si="1"/>
        <v>0.92372093023255819</v>
      </c>
      <c r="J7" s="12">
        <f t="shared" si="2"/>
        <v>-302</v>
      </c>
      <c r="K7" s="13">
        <f t="shared" si="3"/>
        <v>0.75514266755142667</v>
      </c>
      <c r="L7" s="13">
        <f t="shared" si="4"/>
        <v>0.75514266755142667</v>
      </c>
      <c r="M7" s="14">
        <v>111</v>
      </c>
      <c r="N7" s="14">
        <v>1249</v>
      </c>
      <c r="O7" s="14">
        <f t="shared" si="5"/>
        <v>1138</v>
      </c>
      <c r="P7" s="15"/>
      <c r="Q7" s="16"/>
    </row>
    <row r="8" spans="1:17" ht="19.5" customHeight="1" x14ac:dyDescent="0.25">
      <c r="A8" s="10">
        <v>4</v>
      </c>
      <c r="B8" s="11" t="s">
        <v>16</v>
      </c>
      <c r="C8" s="12">
        <v>2536</v>
      </c>
      <c r="D8" s="12">
        <v>883</v>
      </c>
      <c r="E8" s="12">
        <f>2305+103</f>
        <v>2408</v>
      </c>
      <c r="F8" s="12">
        <v>779</v>
      </c>
      <c r="G8" s="12">
        <v>779</v>
      </c>
      <c r="H8" s="12">
        <f t="shared" si="0"/>
        <v>-128</v>
      </c>
      <c r="I8" s="13">
        <f t="shared" si="1"/>
        <v>0.94952681388012616</v>
      </c>
      <c r="J8" s="12">
        <f t="shared" si="2"/>
        <v>-104</v>
      </c>
      <c r="K8" s="13">
        <f t="shared" si="3"/>
        <v>0.88221970554926388</v>
      </c>
      <c r="L8" s="13">
        <f t="shared" si="4"/>
        <v>0.88221970554926388</v>
      </c>
      <c r="M8" s="14">
        <v>305</v>
      </c>
      <c r="N8" s="14">
        <v>1084</v>
      </c>
      <c r="O8" s="14">
        <f t="shared" si="5"/>
        <v>779</v>
      </c>
      <c r="P8" s="15"/>
      <c r="Q8" s="16"/>
    </row>
    <row r="9" spans="1:17" ht="19.5" customHeight="1" x14ac:dyDescent="0.25">
      <c r="A9" s="10">
        <v>5</v>
      </c>
      <c r="B9" s="11" t="s">
        <v>17</v>
      </c>
      <c r="C9" s="12">
        <v>809</v>
      </c>
      <c r="D9" s="12">
        <v>382</v>
      </c>
      <c r="E9" s="12">
        <f>599+48</f>
        <v>647</v>
      </c>
      <c r="F9" s="12">
        <v>246</v>
      </c>
      <c r="G9" s="12">
        <v>175</v>
      </c>
      <c r="H9" s="12">
        <f t="shared" si="0"/>
        <v>-162</v>
      </c>
      <c r="I9" s="13">
        <f t="shared" si="1"/>
        <v>0.79975278121137205</v>
      </c>
      <c r="J9" s="12">
        <f t="shared" si="2"/>
        <v>-136</v>
      </c>
      <c r="K9" s="13">
        <f t="shared" si="3"/>
        <v>0.45811518324607331</v>
      </c>
      <c r="L9" s="13">
        <f t="shared" si="4"/>
        <v>0.45811518324607331</v>
      </c>
      <c r="M9" s="14">
        <v>166</v>
      </c>
      <c r="N9" s="14">
        <v>341</v>
      </c>
      <c r="O9" s="14">
        <f t="shared" si="5"/>
        <v>175</v>
      </c>
      <c r="P9" s="15"/>
      <c r="Q9" s="16"/>
    </row>
    <row r="10" spans="1:17" ht="19.5" customHeight="1" x14ac:dyDescent="0.25">
      <c r="A10" s="10">
        <v>6</v>
      </c>
      <c r="B10" s="11" t="s">
        <v>18</v>
      </c>
      <c r="C10" s="12">
        <v>11161</v>
      </c>
      <c r="D10" s="12">
        <v>6536</v>
      </c>
      <c r="E10" s="12">
        <f>8337+288</f>
        <v>8625</v>
      </c>
      <c r="F10" s="12">
        <v>8337</v>
      </c>
      <c r="G10" s="12">
        <v>231</v>
      </c>
      <c r="H10" s="12">
        <f t="shared" si="0"/>
        <v>-2536</v>
      </c>
      <c r="I10" s="13">
        <f t="shared" si="1"/>
        <v>0.77278021682644926</v>
      </c>
      <c r="J10" s="12">
        <f t="shared" si="2"/>
        <v>1801</v>
      </c>
      <c r="K10" s="13">
        <f t="shared" si="3"/>
        <v>3.5342717258261935E-2</v>
      </c>
      <c r="L10" s="13">
        <f t="shared" si="4"/>
        <v>3.5342717258261935E-2</v>
      </c>
      <c r="M10" s="14">
        <f>431-137</f>
        <v>294</v>
      </c>
      <c r="N10" s="14">
        <v>525</v>
      </c>
      <c r="O10" s="14">
        <f t="shared" si="5"/>
        <v>231</v>
      </c>
      <c r="P10" s="15"/>
      <c r="Q10" s="16"/>
    </row>
    <row r="11" spans="1:17" ht="19.5" customHeight="1" x14ac:dyDescent="0.25">
      <c r="A11" s="10">
        <v>7</v>
      </c>
      <c r="B11" s="11" t="s">
        <v>19</v>
      </c>
      <c r="C11" s="12">
        <v>3202</v>
      </c>
      <c r="D11" s="12">
        <v>481</v>
      </c>
      <c r="E11" s="12"/>
      <c r="F11" s="12"/>
      <c r="G11" s="12"/>
      <c r="H11" s="12">
        <f t="shared" si="0"/>
        <v>-3202</v>
      </c>
      <c r="I11" s="13">
        <f t="shared" si="1"/>
        <v>0</v>
      </c>
      <c r="J11" s="12">
        <f t="shared" si="2"/>
        <v>-481</v>
      </c>
      <c r="K11" s="13">
        <f t="shared" si="3"/>
        <v>0</v>
      </c>
      <c r="L11" s="13">
        <f t="shared" si="4"/>
        <v>0</v>
      </c>
      <c r="M11" s="14">
        <v>86</v>
      </c>
      <c r="N11" s="14">
        <v>157</v>
      </c>
      <c r="O11" s="14">
        <f t="shared" si="5"/>
        <v>71</v>
      </c>
      <c r="P11" s="15"/>
      <c r="Q11" s="16"/>
    </row>
    <row r="12" spans="1:17" ht="19.5" customHeight="1" x14ac:dyDescent="0.25">
      <c r="A12" s="10">
        <v>8</v>
      </c>
      <c r="B12" s="11" t="s">
        <v>20</v>
      </c>
      <c r="C12" s="12">
        <v>1623</v>
      </c>
      <c r="D12" s="12">
        <v>656</v>
      </c>
      <c r="E12" s="12">
        <f>1149+38</f>
        <v>1187</v>
      </c>
      <c r="F12" s="12">
        <v>567</v>
      </c>
      <c r="G12" s="12">
        <v>243</v>
      </c>
      <c r="H12" s="12">
        <f t="shared" si="0"/>
        <v>-436</v>
      </c>
      <c r="I12" s="13">
        <f t="shared" si="1"/>
        <v>0.73136167590881085</v>
      </c>
      <c r="J12" s="12">
        <f t="shared" si="2"/>
        <v>-89</v>
      </c>
      <c r="K12" s="13">
        <f t="shared" si="3"/>
        <v>0.37042682926829268</v>
      </c>
      <c r="L12" s="13">
        <f t="shared" si="4"/>
        <v>0.37042682926829268</v>
      </c>
      <c r="M12" s="14">
        <v>103</v>
      </c>
      <c r="N12" s="14">
        <v>346</v>
      </c>
      <c r="O12" s="14">
        <f t="shared" si="5"/>
        <v>243</v>
      </c>
      <c r="P12" s="15"/>
      <c r="Q12" s="16"/>
    </row>
    <row r="13" spans="1:17" ht="19.5" customHeight="1" x14ac:dyDescent="0.25">
      <c r="A13" s="10">
        <v>9</v>
      </c>
      <c r="B13" s="11" t="s">
        <v>21</v>
      </c>
      <c r="C13" s="12">
        <v>580</v>
      </c>
      <c r="D13" s="12">
        <v>275</v>
      </c>
      <c r="E13" s="12">
        <f>490+86</f>
        <v>576</v>
      </c>
      <c r="F13" s="12">
        <v>252</v>
      </c>
      <c r="G13" s="12">
        <v>252</v>
      </c>
      <c r="H13" s="12">
        <f t="shared" si="0"/>
        <v>-4</v>
      </c>
      <c r="I13" s="13">
        <f t="shared" si="1"/>
        <v>0.99310344827586206</v>
      </c>
      <c r="J13" s="12">
        <f t="shared" si="2"/>
        <v>-23</v>
      </c>
      <c r="K13" s="13">
        <f t="shared" si="3"/>
        <v>0.91636363636363638</v>
      </c>
      <c r="L13" s="13">
        <f t="shared" si="4"/>
        <v>0.91636363636363638</v>
      </c>
      <c r="M13" s="14">
        <v>281</v>
      </c>
      <c r="N13" s="14">
        <v>533</v>
      </c>
      <c r="O13" s="14">
        <f t="shared" si="5"/>
        <v>252</v>
      </c>
      <c r="P13" s="15"/>
      <c r="Q13" s="16"/>
    </row>
    <row r="14" spans="1:17" ht="19.5" customHeight="1" x14ac:dyDescent="0.25">
      <c r="A14" s="10">
        <v>10</v>
      </c>
      <c r="B14" s="11" t="s">
        <v>22</v>
      </c>
      <c r="C14" s="12">
        <v>1123</v>
      </c>
      <c r="D14" s="12">
        <v>774</v>
      </c>
      <c r="E14" s="12">
        <f>635+61</f>
        <v>696</v>
      </c>
      <c r="F14" s="12">
        <v>784</v>
      </c>
      <c r="G14" s="12">
        <v>375</v>
      </c>
      <c r="H14" s="12">
        <f t="shared" si="0"/>
        <v>-427</v>
      </c>
      <c r="I14" s="13">
        <f t="shared" si="1"/>
        <v>0.61976847729296525</v>
      </c>
      <c r="J14" s="12">
        <f t="shared" si="2"/>
        <v>10</v>
      </c>
      <c r="K14" s="13">
        <f t="shared" si="3"/>
        <v>0.48449612403100772</v>
      </c>
      <c r="L14" s="13">
        <f t="shared" si="4"/>
        <v>0.48449612403100772</v>
      </c>
      <c r="M14" s="14">
        <v>106</v>
      </c>
      <c r="N14" s="14">
        <v>481</v>
      </c>
      <c r="O14" s="14">
        <f t="shared" si="5"/>
        <v>375</v>
      </c>
      <c r="P14" s="15">
        <f>694+80</f>
        <v>774</v>
      </c>
      <c r="Q14" s="16"/>
    </row>
    <row r="15" spans="1:17" ht="19.5" customHeight="1" x14ac:dyDescent="0.25">
      <c r="A15" s="10">
        <v>11</v>
      </c>
      <c r="B15" s="11" t="s">
        <v>23</v>
      </c>
      <c r="C15" s="12">
        <v>9939</v>
      </c>
      <c r="D15" s="12">
        <v>8556</v>
      </c>
      <c r="E15" s="12">
        <f>5261+1124</f>
        <v>6385</v>
      </c>
      <c r="F15" s="12">
        <v>5261</v>
      </c>
      <c r="G15" s="12">
        <v>5261</v>
      </c>
      <c r="H15" s="12">
        <f t="shared" si="0"/>
        <v>-3554</v>
      </c>
      <c r="I15" s="13">
        <f t="shared" si="1"/>
        <v>0.64241875440185126</v>
      </c>
      <c r="J15" s="12">
        <f t="shared" si="2"/>
        <v>-3295</v>
      </c>
      <c r="K15" s="13">
        <f t="shared" si="3"/>
        <v>0.6148901355773726</v>
      </c>
      <c r="L15" s="13">
        <f t="shared" si="4"/>
        <v>0.6148901355773726</v>
      </c>
      <c r="M15" s="14">
        <v>1915</v>
      </c>
      <c r="N15" s="14">
        <f>1294+1969+2002+1384</f>
        <v>6649</v>
      </c>
      <c r="O15" s="14">
        <f t="shared" si="5"/>
        <v>4734</v>
      </c>
      <c r="P15" s="15"/>
      <c r="Q15" s="16"/>
    </row>
    <row r="16" spans="1:17" ht="19.5" customHeight="1" x14ac:dyDescent="0.25">
      <c r="A16" s="10">
        <v>12</v>
      </c>
      <c r="B16" s="11" t="s">
        <v>24</v>
      </c>
      <c r="C16" s="12">
        <v>2653</v>
      </c>
      <c r="D16" s="12">
        <v>1271</v>
      </c>
      <c r="E16" s="12">
        <f>2065+31</f>
        <v>2096</v>
      </c>
      <c r="F16" s="12">
        <v>835</v>
      </c>
      <c r="G16" s="12">
        <v>56</v>
      </c>
      <c r="H16" s="12">
        <f t="shared" si="0"/>
        <v>-557</v>
      </c>
      <c r="I16" s="13">
        <f t="shared" si="1"/>
        <v>0.79004900113079535</v>
      </c>
      <c r="J16" s="12">
        <f t="shared" si="2"/>
        <v>-436</v>
      </c>
      <c r="K16" s="13">
        <f t="shared" si="3"/>
        <v>4.4059795436664044E-2</v>
      </c>
      <c r="L16" s="13">
        <f t="shared" si="4"/>
        <v>4.4059795436664044E-2</v>
      </c>
      <c r="M16" s="14">
        <v>164</v>
      </c>
      <c r="N16" s="14">
        <v>220</v>
      </c>
      <c r="O16" s="14">
        <f t="shared" si="5"/>
        <v>56</v>
      </c>
      <c r="P16" s="15"/>
      <c r="Q16" s="16"/>
    </row>
    <row r="17" spans="1:17" ht="19.5" customHeight="1" x14ac:dyDescent="0.25">
      <c r="A17" s="10">
        <v>13</v>
      </c>
      <c r="B17" s="11" t="s">
        <v>25</v>
      </c>
      <c r="C17" s="12">
        <v>2649</v>
      </c>
      <c r="D17" s="12">
        <v>752</v>
      </c>
      <c r="E17" s="12"/>
      <c r="F17" s="12"/>
      <c r="G17" s="12"/>
      <c r="H17" s="12">
        <f t="shared" si="0"/>
        <v>-2649</v>
      </c>
      <c r="I17" s="13">
        <f t="shared" si="1"/>
        <v>0</v>
      </c>
      <c r="J17" s="12">
        <f t="shared" si="2"/>
        <v>-752</v>
      </c>
      <c r="K17" s="13">
        <f t="shared" si="3"/>
        <v>0</v>
      </c>
      <c r="L17" s="13">
        <f t="shared" si="4"/>
        <v>0</v>
      </c>
      <c r="M17" s="14">
        <v>155</v>
      </c>
      <c r="N17" s="14">
        <v>447</v>
      </c>
      <c r="O17" s="14">
        <f t="shared" si="5"/>
        <v>292</v>
      </c>
      <c r="P17" s="15"/>
      <c r="Q17" s="16"/>
    </row>
    <row r="18" spans="1:17" ht="19.5" customHeight="1" x14ac:dyDescent="0.25">
      <c r="A18" s="10">
        <v>14</v>
      </c>
      <c r="B18" s="11" t="s">
        <v>26</v>
      </c>
      <c r="C18" s="12">
        <v>788</v>
      </c>
      <c r="D18" s="12">
        <v>77</v>
      </c>
      <c r="E18" s="12">
        <f>763</f>
        <v>763</v>
      </c>
      <c r="F18" s="12">
        <v>53</v>
      </c>
      <c r="G18" s="12">
        <v>53</v>
      </c>
      <c r="H18" s="12">
        <f t="shared" si="0"/>
        <v>-25</v>
      </c>
      <c r="I18" s="13">
        <f t="shared" si="1"/>
        <v>0.96827411167512689</v>
      </c>
      <c r="J18" s="12">
        <f t="shared" si="2"/>
        <v>-24</v>
      </c>
      <c r="K18" s="13">
        <f t="shared" si="3"/>
        <v>0.68831168831168832</v>
      </c>
      <c r="L18" s="13">
        <f t="shared" si="4"/>
        <v>0.68831168831168832</v>
      </c>
      <c r="M18" s="14">
        <v>126</v>
      </c>
      <c r="N18" s="14">
        <v>179</v>
      </c>
      <c r="O18" s="14">
        <f t="shared" si="5"/>
        <v>53</v>
      </c>
      <c r="P18" s="15"/>
      <c r="Q18" s="16"/>
    </row>
    <row r="19" spans="1:17" ht="19.5" customHeight="1" x14ac:dyDescent="0.25">
      <c r="A19" s="10">
        <v>15</v>
      </c>
      <c r="B19" s="11" t="s">
        <v>27</v>
      </c>
      <c r="C19" s="12">
        <v>3282</v>
      </c>
      <c r="D19" s="12">
        <v>799</v>
      </c>
      <c r="E19" s="12">
        <f>2843+32</f>
        <v>2875</v>
      </c>
      <c r="F19" s="12">
        <v>675</v>
      </c>
      <c r="G19" s="12">
        <v>675</v>
      </c>
      <c r="H19" s="12">
        <f t="shared" si="0"/>
        <v>-407</v>
      </c>
      <c r="I19" s="13">
        <f t="shared" si="1"/>
        <v>0.87599024984765383</v>
      </c>
      <c r="J19" s="12">
        <f t="shared" si="2"/>
        <v>-124</v>
      </c>
      <c r="K19" s="13">
        <f t="shared" si="3"/>
        <v>0.84480600750938672</v>
      </c>
      <c r="L19" s="13">
        <f t="shared" si="4"/>
        <v>0.84480600750938672</v>
      </c>
      <c r="M19" s="14">
        <v>142</v>
      </c>
      <c r="N19" s="14">
        <v>817</v>
      </c>
      <c r="O19" s="14">
        <f t="shared" si="5"/>
        <v>675</v>
      </c>
      <c r="P19" s="15"/>
      <c r="Q19" s="16"/>
    </row>
    <row r="20" spans="1:17" ht="19.5" customHeight="1" x14ac:dyDescent="0.25">
      <c r="A20" s="10">
        <v>16</v>
      </c>
      <c r="B20" s="11" t="s">
        <v>28</v>
      </c>
      <c r="C20" s="12">
        <v>1890</v>
      </c>
      <c r="D20" s="12">
        <v>279</v>
      </c>
      <c r="E20" s="12">
        <f>1567+4</f>
        <v>1571</v>
      </c>
      <c r="F20" s="12">
        <v>32</v>
      </c>
      <c r="G20" s="12">
        <v>32</v>
      </c>
      <c r="H20" s="12">
        <f t="shared" si="0"/>
        <v>-319</v>
      </c>
      <c r="I20" s="13">
        <f t="shared" si="1"/>
        <v>0.83121693121693119</v>
      </c>
      <c r="J20" s="12">
        <f t="shared" si="2"/>
        <v>-247</v>
      </c>
      <c r="K20" s="13">
        <f t="shared" si="3"/>
        <v>0.11469534050179211</v>
      </c>
      <c r="L20" s="13">
        <f t="shared" si="4"/>
        <v>0.11469534050179211</v>
      </c>
      <c r="M20" s="14">
        <v>21</v>
      </c>
      <c r="N20" s="14">
        <v>53</v>
      </c>
      <c r="O20" s="14">
        <f t="shared" si="5"/>
        <v>32</v>
      </c>
      <c r="P20" s="15"/>
      <c r="Q20" s="16"/>
    </row>
    <row r="21" spans="1:17" ht="19.5" customHeight="1" x14ac:dyDescent="0.25">
      <c r="A21" s="10">
        <v>17</v>
      </c>
      <c r="B21" s="11" t="s">
        <v>29</v>
      </c>
      <c r="C21" s="12">
        <v>897</v>
      </c>
      <c r="D21" s="12">
        <v>627</v>
      </c>
      <c r="E21" s="12">
        <v>891</v>
      </c>
      <c r="F21" s="12">
        <f>661-119</f>
        <v>542</v>
      </c>
      <c r="G21" s="12">
        <v>202</v>
      </c>
      <c r="H21" s="12">
        <f t="shared" si="0"/>
        <v>-6</v>
      </c>
      <c r="I21" s="13">
        <f t="shared" si="1"/>
        <v>0.99331103678929766</v>
      </c>
      <c r="J21" s="12">
        <f t="shared" si="2"/>
        <v>-85</v>
      </c>
      <c r="K21" s="13">
        <f t="shared" si="3"/>
        <v>0.32216905901116427</v>
      </c>
      <c r="L21" s="13">
        <f t="shared" si="4"/>
        <v>0.32216905901116427</v>
      </c>
      <c r="M21" s="14">
        <v>64</v>
      </c>
      <c r="N21" s="14">
        <v>266</v>
      </c>
      <c r="O21" s="14">
        <f t="shared" si="5"/>
        <v>202</v>
      </c>
      <c r="P21" s="15"/>
      <c r="Q21" s="16"/>
    </row>
    <row r="22" spans="1:17" ht="19.5" customHeight="1" x14ac:dyDescent="0.25">
      <c r="A22" s="10">
        <v>18</v>
      </c>
      <c r="B22" s="11" t="s">
        <v>30</v>
      </c>
      <c r="C22" s="12">
        <v>4595</v>
      </c>
      <c r="D22" s="12">
        <v>977</v>
      </c>
      <c r="E22" s="12">
        <f>1459+38</f>
        <v>1497</v>
      </c>
      <c r="F22" s="12">
        <v>803</v>
      </c>
      <c r="G22" s="12">
        <v>76</v>
      </c>
      <c r="H22" s="12">
        <f t="shared" si="0"/>
        <v>-3098</v>
      </c>
      <c r="I22" s="13">
        <f t="shared" si="1"/>
        <v>0.32578890097932534</v>
      </c>
      <c r="J22" s="12">
        <f t="shared" si="2"/>
        <v>-174</v>
      </c>
      <c r="K22" s="13">
        <f t="shared" si="3"/>
        <v>7.7789150460593648E-2</v>
      </c>
      <c r="L22" s="13">
        <f t="shared" si="4"/>
        <v>7.7789150460593648E-2</v>
      </c>
      <c r="M22" s="14">
        <v>447</v>
      </c>
      <c r="N22" s="14">
        <v>523</v>
      </c>
      <c r="O22" s="14">
        <f t="shared" si="5"/>
        <v>76</v>
      </c>
      <c r="P22" s="15"/>
      <c r="Q22" s="16"/>
    </row>
    <row r="23" spans="1:17" ht="19.5" customHeight="1" x14ac:dyDescent="0.25">
      <c r="A23" s="10">
        <v>19</v>
      </c>
      <c r="B23" s="17" t="s">
        <v>31</v>
      </c>
      <c r="C23" s="12">
        <v>331</v>
      </c>
      <c r="D23" s="12">
        <v>157</v>
      </c>
      <c r="E23" s="12">
        <f>457+59</f>
        <v>516</v>
      </c>
      <c r="F23" s="12">
        <v>60</v>
      </c>
      <c r="G23" s="12">
        <v>60</v>
      </c>
      <c r="H23" s="12">
        <f t="shared" si="0"/>
        <v>185</v>
      </c>
      <c r="I23" s="13">
        <f t="shared" si="1"/>
        <v>1.5589123867069485</v>
      </c>
      <c r="J23" s="12">
        <f t="shared" si="2"/>
        <v>-97</v>
      </c>
      <c r="K23" s="13">
        <f t="shared" si="3"/>
        <v>0.38216560509554143</v>
      </c>
      <c r="L23" s="13">
        <f t="shared" si="4"/>
        <v>0.38216560509554143</v>
      </c>
      <c r="M23" s="14">
        <v>102</v>
      </c>
      <c r="N23" s="14">
        <v>162</v>
      </c>
      <c r="O23" s="14">
        <f t="shared" si="5"/>
        <v>60</v>
      </c>
      <c r="P23" s="15"/>
      <c r="Q23" s="16"/>
    </row>
    <row r="24" spans="1:17" ht="19.5" customHeight="1" x14ac:dyDescent="0.25">
      <c r="A24" s="10">
        <v>20</v>
      </c>
      <c r="B24" s="11" t="s">
        <v>32</v>
      </c>
      <c r="C24" s="12">
        <v>1803</v>
      </c>
      <c r="D24" s="12">
        <v>1272</v>
      </c>
      <c r="E24" s="12">
        <v>1681</v>
      </c>
      <c r="F24" s="12">
        <f>1681-945</f>
        <v>736</v>
      </c>
      <c r="G24" s="12">
        <v>398</v>
      </c>
      <c r="H24" s="12">
        <f t="shared" si="0"/>
        <v>-122</v>
      </c>
      <c r="I24" s="13">
        <f t="shared" si="1"/>
        <v>0.9323349972268441</v>
      </c>
      <c r="J24" s="12">
        <f t="shared" si="2"/>
        <v>-536</v>
      </c>
      <c r="K24" s="13">
        <f t="shared" si="3"/>
        <v>0.31289308176100628</v>
      </c>
      <c r="L24" s="13">
        <f t="shared" si="4"/>
        <v>0.31289308176100628</v>
      </c>
      <c r="M24" s="14">
        <v>225</v>
      </c>
      <c r="N24" s="14">
        <v>623</v>
      </c>
      <c r="O24" s="14">
        <f t="shared" si="5"/>
        <v>398</v>
      </c>
      <c r="P24" s="15"/>
      <c r="Q24" s="16"/>
    </row>
    <row r="25" spans="1:17" ht="19.5" customHeight="1" x14ac:dyDescent="0.25">
      <c r="A25" s="10">
        <v>21</v>
      </c>
      <c r="B25" s="11" t="s">
        <v>33</v>
      </c>
      <c r="C25" s="12">
        <v>889</v>
      </c>
      <c r="D25" s="12">
        <v>798</v>
      </c>
      <c r="E25" s="12">
        <v>580</v>
      </c>
      <c r="F25" s="12">
        <v>580</v>
      </c>
      <c r="G25" s="12">
        <v>92</v>
      </c>
      <c r="H25" s="12">
        <f t="shared" si="0"/>
        <v>-309</v>
      </c>
      <c r="I25" s="13">
        <f t="shared" si="1"/>
        <v>0.65241844769403823</v>
      </c>
      <c r="J25" s="12">
        <f t="shared" si="2"/>
        <v>-218</v>
      </c>
      <c r="K25" s="13">
        <f t="shared" si="3"/>
        <v>0.11528822055137844</v>
      </c>
      <c r="L25" s="13">
        <f t="shared" si="4"/>
        <v>0.11528822055137844</v>
      </c>
      <c r="M25" s="14">
        <v>103</v>
      </c>
      <c r="N25" s="14">
        <v>195</v>
      </c>
      <c r="O25" s="14">
        <f t="shared" si="5"/>
        <v>92</v>
      </c>
      <c r="P25" s="15"/>
      <c r="Q25" s="16"/>
    </row>
    <row r="26" spans="1:17" ht="19.5" customHeight="1" x14ac:dyDescent="0.25">
      <c r="A26" s="10">
        <v>22</v>
      </c>
      <c r="B26" s="11" t="s">
        <v>34</v>
      </c>
      <c r="C26" s="12">
        <v>1793</v>
      </c>
      <c r="D26" s="12">
        <v>1315</v>
      </c>
      <c r="E26" s="12">
        <v>1706</v>
      </c>
      <c r="F26" s="12">
        <v>1701</v>
      </c>
      <c r="G26" s="12">
        <v>93</v>
      </c>
      <c r="H26" s="12">
        <f t="shared" si="0"/>
        <v>-87</v>
      </c>
      <c r="I26" s="13">
        <f t="shared" si="1"/>
        <v>0.95147796988287781</v>
      </c>
      <c r="J26" s="12">
        <f t="shared" si="2"/>
        <v>386</v>
      </c>
      <c r="K26" s="13">
        <f t="shared" si="3"/>
        <v>7.0722433460076048E-2</v>
      </c>
      <c r="L26" s="13">
        <f t="shared" si="4"/>
        <v>7.0722433460076048E-2</v>
      </c>
      <c r="M26" s="14">
        <f>141-37</f>
        <v>104</v>
      </c>
      <c r="N26" s="14">
        <v>197</v>
      </c>
      <c r="O26" s="14">
        <f t="shared" si="5"/>
        <v>93</v>
      </c>
      <c r="P26" s="15"/>
      <c r="Q26" s="16"/>
    </row>
    <row r="27" spans="1:17" ht="19.5" customHeight="1" x14ac:dyDescent="0.25">
      <c r="A27" s="10">
        <v>23</v>
      </c>
      <c r="B27" s="11" t="s">
        <v>35</v>
      </c>
      <c r="C27" s="12">
        <v>448</v>
      </c>
      <c r="D27" s="12">
        <v>281</v>
      </c>
      <c r="E27" s="12">
        <v>244</v>
      </c>
      <c r="F27" s="12">
        <v>198</v>
      </c>
      <c r="G27" s="12">
        <v>169</v>
      </c>
      <c r="H27" s="12">
        <f t="shared" si="0"/>
        <v>-204</v>
      </c>
      <c r="I27" s="13">
        <f t="shared" si="1"/>
        <v>0.5446428571428571</v>
      </c>
      <c r="J27" s="12">
        <f t="shared" si="2"/>
        <v>-83</v>
      </c>
      <c r="K27" s="13">
        <f t="shared" si="3"/>
        <v>0.60142348754448394</v>
      </c>
      <c r="L27" s="13">
        <f t="shared" si="4"/>
        <v>0.60142348754448394</v>
      </c>
      <c r="M27" s="14">
        <v>170</v>
      </c>
      <c r="N27" s="14">
        <v>339</v>
      </c>
      <c r="O27" s="14">
        <f t="shared" si="5"/>
        <v>169</v>
      </c>
      <c r="P27" s="15"/>
      <c r="Q27" s="16"/>
    </row>
    <row r="28" spans="1:17" ht="19.5" customHeight="1" x14ac:dyDescent="0.25">
      <c r="A28" s="10">
        <v>24</v>
      </c>
      <c r="B28" s="11" t="s">
        <v>36</v>
      </c>
      <c r="C28" s="12">
        <v>2485</v>
      </c>
      <c r="D28" s="12">
        <v>1247</v>
      </c>
      <c r="E28" s="12">
        <v>1697</v>
      </c>
      <c r="F28" s="12">
        <v>1338</v>
      </c>
      <c r="G28" s="12">
        <v>201</v>
      </c>
      <c r="H28" s="12">
        <f t="shared" si="0"/>
        <v>-788</v>
      </c>
      <c r="I28" s="13">
        <f t="shared" si="1"/>
        <v>0.68289738430583502</v>
      </c>
      <c r="J28" s="12">
        <f t="shared" si="2"/>
        <v>91</v>
      </c>
      <c r="K28" s="13">
        <f t="shared" si="3"/>
        <v>0.161186848436247</v>
      </c>
      <c r="L28" s="13">
        <f t="shared" si="4"/>
        <v>0.161186848436247</v>
      </c>
      <c r="M28" s="14">
        <f>219-14</f>
        <v>205</v>
      </c>
      <c r="N28" s="14">
        <v>406</v>
      </c>
      <c r="O28" s="14">
        <f t="shared" si="5"/>
        <v>201</v>
      </c>
      <c r="P28" s="15"/>
      <c r="Q28" s="16"/>
    </row>
    <row r="29" spans="1:17" ht="19.5" customHeight="1" x14ac:dyDescent="0.25">
      <c r="A29" s="10">
        <v>25</v>
      </c>
      <c r="B29" s="11" t="s">
        <v>37</v>
      </c>
      <c r="C29" s="12">
        <v>4243</v>
      </c>
      <c r="D29" s="12">
        <v>893</v>
      </c>
      <c r="E29" s="12">
        <f>2238+100</f>
        <v>2338</v>
      </c>
      <c r="F29" s="12">
        <f>731+O29</f>
        <v>831</v>
      </c>
      <c r="G29" s="12">
        <v>100</v>
      </c>
      <c r="H29" s="12">
        <f t="shared" si="0"/>
        <v>-1905</v>
      </c>
      <c r="I29" s="13">
        <f t="shared" si="1"/>
        <v>0.55102521800612769</v>
      </c>
      <c r="J29" s="12">
        <f t="shared" si="2"/>
        <v>-62</v>
      </c>
      <c r="K29" s="13">
        <f t="shared" si="3"/>
        <v>0.11198208286674133</v>
      </c>
      <c r="L29" s="13">
        <f t="shared" si="4"/>
        <v>0.11198208286674133</v>
      </c>
      <c r="M29" s="14">
        <v>103</v>
      </c>
      <c r="N29" s="14">
        <v>203</v>
      </c>
      <c r="O29" s="14">
        <f t="shared" si="5"/>
        <v>100</v>
      </c>
      <c r="P29" s="15"/>
      <c r="Q29" s="16"/>
    </row>
    <row r="30" spans="1:17" ht="19.5" customHeight="1" x14ac:dyDescent="0.25">
      <c r="A30" s="76" t="s">
        <v>38</v>
      </c>
      <c r="B30" s="76"/>
      <c r="C30" s="18">
        <f>SUM(C5:C29)</f>
        <v>67587</v>
      </c>
      <c r="D30" s="18">
        <f>SUM(D5:D29)</f>
        <v>36133</v>
      </c>
      <c r="E30" s="18">
        <f>SUM(E5:E29)</f>
        <v>45797</v>
      </c>
      <c r="F30" s="18">
        <f>SUM(F5:F29)</f>
        <v>30224</v>
      </c>
      <c r="G30" s="18">
        <f>SUM(G5:G29)</f>
        <v>11071</v>
      </c>
      <c r="H30" s="19">
        <f t="shared" si="0"/>
        <v>-21790</v>
      </c>
      <c r="I30" s="20">
        <f t="shared" si="1"/>
        <v>0.67760072203234345</v>
      </c>
      <c r="J30" s="19">
        <f t="shared" si="2"/>
        <v>-5909</v>
      </c>
      <c r="K30" s="21">
        <f t="shared" si="3"/>
        <v>0.30639581545955219</v>
      </c>
      <c r="L30" s="20">
        <f t="shared" si="4"/>
        <v>0.30639581545955219</v>
      </c>
      <c r="M30" s="14">
        <f>SUM(M5:M29)</f>
        <v>5879</v>
      </c>
      <c r="N30" s="14">
        <f>SUM(N5:N29)</f>
        <v>16786</v>
      </c>
      <c r="O30" s="14">
        <f>SUM(O5:O29)</f>
        <v>10907</v>
      </c>
      <c r="P30" s="14"/>
    </row>
    <row r="31" spans="1:17" ht="19.5" customHeight="1" x14ac:dyDescent="0.25"/>
    <row r="32" spans="1:17" ht="19.5" customHeight="1" x14ac:dyDescent="0.25"/>
    <row r="33" ht="19.5" customHeight="1" x14ac:dyDescent="0.25"/>
  </sheetData>
  <mergeCells count="13">
    <mergeCell ref="M3:M4"/>
    <mergeCell ref="O3:O4"/>
    <mergeCell ref="A30:B30"/>
    <mergeCell ref="A1:L1"/>
    <mergeCell ref="A2:A3"/>
    <mergeCell ref="B2:B3"/>
    <mergeCell ref="C2:C3"/>
    <mergeCell ref="D2:D3"/>
    <mergeCell ref="E2:E3"/>
    <mergeCell ref="F2:F3"/>
    <mergeCell ref="G2:G3"/>
    <mergeCell ref="H2:I2"/>
    <mergeCell ref="J2:K2"/>
  </mergeCells>
  <pageMargins left="0.31527777777777799" right="0.118055555555556" top="0.35416666666666702" bottom="0.196527777777778" header="0.51180555555555496" footer="0.51180555555555496"/>
  <pageSetup paperSize="9" scale="84" firstPageNumber="0" fitToHeight="0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4"/>
  <sheetViews>
    <sheetView view="pageBreakPreview" topLeftCell="A5" zoomScaleNormal="100" workbookViewId="0">
      <selection activeCell="A15" sqref="A15"/>
    </sheetView>
  </sheetViews>
  <sheetFormatPr defaultColWidth="8.42578125" defaultRowHeight="15" x14ac:dyDescent="0.25"/>
  <cols>
    <col min="1" max="1" width="4.5703125" style="2" customWidth="1"/>
    <col min="2" max="2" width="22" style="2" customWidth="1"/>
    <col min="3" max="3" width="24" style="2" customWidth="1"/>
    <col min="4" max="5" width="19.7109375" style="2" customWidth="1"/>
    <col min="6" max="6" width="22.140625" style="2" customWidth="1"/>
    <col min="7" max="8" width="12.140625" style="2" customWidth="1"/>
    <col min="9" max="9" width="11" style="2" customWidth="1"/>
    <col min="10" max="10" width="12.140625" style="2" customWidth="1"/>
    <col min="11" max="12" width="12.140625" style="2" hidden="1" customWidth="1"/>
    <col min="13" max="13" width="11.28515625" style="2" hidden="1" customWidth="1"/>
    <col min="14" max="14" width="13" style="2" hidden="1" customWidth="1"/>
    <col min="15" max="15" width="11.140625" style="2" hidden="1" customWidth="1"/>
    <col min="16" max="16" width="13" style="2" hidden="1" customWidth="1"/>
    <col min="18" max="18" width="6.28515625" style="2" customWidth="1"/>
    <col min="19" max="20" width="4.7109375" style="2" customWidth="1"/>
    <col min="21" max="21" width="5.85546875" style="2" customWidth="1"/>
    <col min="22" max="22" width="4" style="2" customWidth="1"/>
  </cols>
  <sheetData>
    <row r="1" spans="1:18" ht="33" hidden="1" customHeight="1" x14ac:dyDescent="0.25">
      <c r="B1" s="22" t="s">
        <v>39</v>
      </c>
      <c r="C1" s="22" t="s">
        <v>40</v>
      </c>
      <c r="D1" s="22" t="s">
        <v>41</v>
      </c>
      <c r="E1" s="22" t="s">
        <v>42</v>
      </c>
      <c r="F1" s="22" t="s">
        <v>43</v>
      </c>
    </row>
    <row r="2" spans="1:18" hidden="1" x14ac:dyDescent="0.25">
      <c r="A2" s="23">
        <v>44378</v>
      </c>
      <c r="B2" s="2">
        <v>827</v>
      </c>
      <c r="C2" s="2">
        <v>450</v>
      </c>
      <c r="D2" s="2">
        <v>131</v>
      </c>
      <c r="E2" s="2">
        <v>2835</v>
      </c>
      <c r="F2" s="2">
        <v>410</v>
      </c>
      <c r="G2" s="2">
        <f>SUM(B2:F2)</f>
        <v>4653</v>
      </c>
    </row>
    <row r="3" spans="1:18" hidden="1" x14ac:dyDescent="0.25">
      <c r="A3" s="23">
        <v>44409</v>
      </c>
      <c r="B3" s="2">
        <v>620</v>
      </c>
      <c r="C3" s="2">
        <v>456</v>
      </c>
      <c r="D3" s="2">
        <v>131</v>
      </c>
      <c r="E3" s="2">
        <v>2506</v>
      </c>
      <c r="F3" s="2">
        <v>423</v>
      </c>
      <c r="G3" s="2">
        <f>SUM(B3:F3)</f>
        <v>4136</v>
      </c>
    </row>
    <row r="4" spans="1:18" hidden="1" x14ac:dyDescent="0.25"/>
    <row r="5" spans="1:18" ht="35.25" customHeight="1" x14ac:dyDescent="0.25">
      <c r="A5" s="77" t="s">
        <v>0</v>
      </c>
      <c r="B5" s="77"/>
      <c r="C5" s="77"/>
      <c r="D5" s="77"/>
      <c r="E5" s="77"/>
      <c r="F5" s="77"/>
      <c r="G5" s="77"/>
      <c r="H5" s="77"/>
      <c r="I5" s="77"/>
      <c r="J5" s="77"/>
      <c r="K5" s="24"/>
      <c r="L5" s="25"/>
      <c r="M5" s="1"/>
      <c r="N5" s="1"/>
      <c r="O5" s="1"/>
    </row>
    <row r="6" spans="1:18" ht="36" customHeight="1" x14ac:dyDescent="0.25">
      <c r="A6" s="78" t="s">
        <v>1</v>
      </c>
      <c r="B6" s="79" t="s">
        <v>2</v>
      </c>
      <c r="C6" s="78" t="s">
        <v>3</v>
      </c>
      <c r="D6" s="80" t="s">
        <v>44</v>
      </c>
      <c r="E6" s="80" t="s">
        <v>5</v>
      </c>
      <c r="F6" s="80" t="s">
        <v>6</v>
      </c>
      <c r="G6" s="80" t="s">
        <v>7</v>
      </c>
      <c r="H6" s="80"/>
      <c r="I6" s="80" t="s">
        <v>8</v>
      </c>
      <c r="J6" s="80"/>
      <c r="K6" s="26"/>
      <c r="L6" s="1"/>
      <c r="M6" s="1"/>
      <c r="N6" s="1"/>
    </row>
    <row r="7" spans="1:18" ht="21" customHeight="1" x14ac:dyDescent="0.25">
      <c r="A7" s="78"/>
      <c r="B7" s="78"/>
      <c r="C7" s="78"/>
      <c r="D7" s="78"/>
      <c r="E7" s="78"/>
      <c r="F7" s="78"/>
      <c r="G7" s="5" t="s">
        <v>9</v>
      </c>
      <c r="H7" s="5" t="s">
        <v>10</v>
      </c>
      <c r="I7" s="6" t="s">
        <v>9</v>
      </c>
      <c r="J7" s="6" t="s">
        <v>10</v>
      </c>
      <c r="K7" s="27"/>
      <c r="L7" s="81" t="s">
        <v>11</v>
      </c>
      <c r="M7" s="7"/>
      <c r="N7" s="75" t="s">
        <v>12</v>
      </c>
    </row>
    <row r="8" spans="1:18" ht="15.75" customHeight="1" x14ac:dyDescent="0.25">
      <c r="A8" s="8">
        <v>1</v>
      </c>
      <c r="B8" s="8">
        <v>2</v>
      </c>
      <c r="C8" s="9">
        <v>3</v>
      </c>
      <c r="D8" s="9">
        <v>4</v>
      </c>
      <c r="E8" s="9">
        <v>5</v>
      </c>
      <c r="F8" s="9">
        <v>6</v>
      </c>
      <c r="G8" s="9">
        <v>7</v>
      </c>
      <c r="H8" s="9">
        <v>8</v>
      </c>
      <c r="I8" s="9">
        <v>9</v>
      </c>
      <c r="J8" s="9">
        <v>10</v>
      </c>
      <c r="K8" s="28"/>
      <c r="L8" s="81"/>
      <c r="M8" s="7"/>
      <c r="N8" s="75"/>
    </row>
    <row r="9" spans="1:18" ht="15.75" customHeight="1" x14ac:dyDescent="0.25">
      <c r="A9" s="10">
        <v>1</v>
      </c>
      <c r="B9" s="11" t="s">
        <v>13</v>
      </c>
      <c r="C9" s="12">
        <v>715</v>
      </c>
      <c r="D9" s="12">
        <f>C9-216</f>
        <v>499</v>
      </c>
      <c r="E9" s="12">
        <f>663+33</f>
        <v>696</v>
      </c>
      <c r="F9" s="12">
        <v>273</v>
      </c>
      <c r="G9" s="12">
        <f t="shared" ref="G9:G34" si="0">E9-C9</f>
        <v>-19</v>
      </c>
      <c r="H9" s="13">
        <f t="shared" ref="H9:H34" si="1">-G9/C9</f>
        <v>2.6573426573426574E-2</v>
      </c>
      <c r="I9" s="12">
        <f t="shared" ref="I9:I34" si="2">F9-D9</f>
        <v>-226</v>
      </c>
      <c r="J9" s="13">
        <f t="shared" ref="J9:J26" si="3">-I9/D9</f>
        <v>0.4529058116232465</v>
      </c>
      <c r="K9" s="13">
        <f t="shared" ref="K9:K34" si="4">F9/D9</f>
        <v>0.5470941883767535</v>
      </c>
      <c r="L9" s="14">
        <v>129</v>
      </c>
      <c r="M9" s="14">
        <v>167</v>
      </c>
      <c r="N9" s="14">
        <f t="shared" ref="N9:N33" si="5">M9-L9</f>
        <v>38</v>
      </c>
      <c r="O9" s="15">
        <f t="shared" ref="O9:O33" si="6">E9-D9</f>
        <v>197</v>
      </c>
      <c r="Q9" s="15">
        <f>E9-D9</f>
        <v>197</v>
      </c>
      <c r="R9" s="15">
        <f>F9-Q9</f>
        <v>76</v>
      </c>
    </row>
    <row r="10" spans="1:18" ht="15.75" customHeight="1" x14ac:dyDescent="0.25">
      <c r="A10" s="10">
        <v>2</v>
      </c>
      <c r="B10" s="11" t="s">
        <v>14</v>
      </c>
      <c r="C10" s="12">
        <v>5003</v>
      </c>
      <c r="D10" s="12">
        <v>4994</v>
      </c>
      <c r="E10" s="12">
        <v>4136</v>
      </c>
      <c r="F10" s="12">
        <v>4136</v>
      </c>
      <c r="G10" s="12">
        <f t="shared" si="0"/>
        <v>-867</v>
      </c>
      <c r="H10" s="13">
        <f t="shared" si="1"/>
        <v>0.17329602238656805</v>
      </c>
      <c r="I10" s="12">
        <f t="shared" si="2"/>
        <v>-858</v>
      </c>
      <c r="J10" s="13">
        <f t="shared" si="3"/>
        <v>0.17180616740088106</v>
      </c>
      <c r="K10" s="13">
        <f t="shared" si="4"/>
        <v>0.82819383259911894</v>
      </c>
      <c r="L10" s="14">
        <v>252</v>
      </c>
      <c r="M10" s="14">
        <v>624</v>
      </c>
      <c r="N10" s="14">
        <f t="shared" si="5"/>
        <v>372</v>
      </c>
      <c r="O10" s="15">
        <f t="shared" si="6"/>
        <v>-858</v>
      </c>
    </row>
    <row r="11" spans="1:18" ht="15.75" customHeight="1" x14ac:dyDescent="0.25">
      <c r="A11" s="10">
        <v>3</v>
      </c>
      <c r="B11" s="11" t="s">
        <v>15</v>
      </c>
      <c r="C11" s="12">
        <v>2150</v>
      </c>
      <c r="D11" s="12">
        <v>1507</v>
      </c>
      <c r="E11" s="12">
        <f>1915+71</f>
        <v>1986</v>
      </c>
      <c r="F11" s="12">
        <v>1205</v>
      </c>
      <c r="G11" s="12">
        <f t="shared" si="0"/>
        <v>-164</v>
      </c>
      <c r="H11" s="13">
        <f t="shared" si="1"/>
        <v>7.6279069767441865E-2</v>
      </c>
      <c r="I11" s="12">
        <f t="shared" si="2"/>
        <v>-302</v>
      </c>
      <c r="J11" s="13">
        <f t="shared" si="3"/>
        <v>0.20039814200398143</v>
      </c>
      <c r="K11" s="13">
        <f t="shared" si="4"/>
        <v>0.79960185799601857</v>
      </c>
      <c r="L11" s="14">
        <v>111</v>
      </c>
      <c r="M11" s="14">
        <v>1249</v>
      </c>
      <c r="N11" s="14">
        <f t="shared" si="5"/>
        <v>1138</v>
      </c>
      <c r="O11" s="15">
        <f t="shared" si="6"/>
        <v>479</v>
      </c>
    </row>
    <row r="12" spans="1:18" ht="15.75" customHeight="1" x14ac:dyDescent="0.25">
      <c r="A12" s="10">
        <v>4</v>
      </c>
      <c r="B12" s="11" t="s">
        <v>16</v>
      </c>
      <c r="C12" s="12">
        <v>2536</v>
      </c>
      <c r="D12" s="12">
        <v>883</v>
      </c>
      <c r="E12" s="12">
        <f>2305+103</f>
        <v>2408</v>
      </c>
      <c r="F12" s="12">
        <v>779</v>
      </c>
      <c r="G12" s="12">
        <f t="shared" si="0"/>
        <v>-128</v>
      </c>
      <c r="H12" s="13">
        <f t="shared" si="1"/>
        <v>5.0473186119873815E-2</v>
      </c>
      <c r="I12" s="12">
        <f t="shared" si="2"/>
        <v>-104</v>
      </c>
      <c r="J12" s="13">
        <f t="shared" si="3"/>
        <v>0.11778029445073612</v>
      </c>
      <c r="K12" s="13">
        <f t="shared" si="4"/>
        <v>0.88221970554926388</v>
      </c>
      <c r="L12" s="14">
        <v>305</v>
      </c>
      <c r="M12" s="14">
        <v>1084</v>
      </c>
      <c r="N12" s="14">
        <f t="shared" si="5"/>
        <v>779</v>
      </c>
      <c r="O12" s="15">
        <f t="shared" si="6"/>
        <v>1525</v>
      </c>
    </row>
    <row r="13" spans="1:18" ht="15.75" customHeight="1" x14ac:dyDescent="0.25">
      <c r="A13" s="10">
        <v>5</v>
      </c>
      <c r="B13" s="11" t="s">
        <v>17</v>
      </c>
      <c r="C13" s="12">
        <v>809</v>
      </c>
      <c r="D13" s="12">
        <f>218+51</f>
        <v>269</v>
      </c>
      <c r="E13" s="12">
        <f>618+48</f>
        <v>666</v>
      </c>
      <c r="F13" s="12">
        <v>246</v>
      </c>
      <c r="G13" s="12">
        <f t="shared" si="0"/>
        <v>-143</v>
      </c>
      <c r="H13" s="13">
        <f t="shared" si="1"/>
        <v>0.17676143386897405</v>
      </c>
      <c r="I13" s="12">
        <f t="shared" si="2"/>
        <v>-23</v>
      </c>
      <c r="J13" s="13">
        <f t="shared" si="3"/>
        <v>8.5501858736059477E-2</v>
      </c>
      <c r="K13" s="13">
        <f t="shared" si="4"/>
        <v>0.91449814126394047</v>
      </c>
      <c r="L13" s="14">
        <v>166</v>
      </c>
      <c r="M13" s="14">
        <v>341</v>
      </c>
      <c r="N13" s="14">
        <f t="shared" si="5"/>
        <v>175</v>
      </c>
      <c r="O13" s="15">
        <f t="shared" si="6"/>
        <v>397</v>
      </c>
    </row>
    <row r="14" spans="1:18" ht="15.75" customHeight="1" x14ac:dyDescent="0.25">
      <c r="A14" s="10">
        <v>6</v>
      </c>
      <c r="B14" s="11" t="s">
        <v>18</v>
      </c>
      <c r="C14" s="12">
        <v>11161</v>
      </c>
      <c r="D14" s="12">
        <f>11161-500</f>
        <v>10661</v>
      </c>
      <c r="E14" s="12">
        <v>9131</v>
      </c>
      <c r="F14" s="12">
        <f>9131-288</f>
        <v>8843</v>
      </c>
      <c r="G14" s="12">
        <f t="shared" si="0"/>
        <v>-2030</v>
      </c>
      <c r="H14" s="13">
        <f t="shared" si="1"/>
        <v>0.18188334378639906</v>
      </c>
      <c r="I14" s="12">
        <f t="shared" si="2"/>
        <v>-1818</v>
      </c>
      <c r="J14" s="13">
        <f t="shared" si="3"/>
        <v>0.17052809304943251</v>
      </c>
      <c r="K14" s="13">
        <f t="shared" si="4"/>
        <v>0.82947190695056749</v>
      </c>
      <c r="L14" s="14">
        <f>431-137</f>
        <v>294</v>
      </c>
      <c r="M14" s="14">
        <v>525</v>
      </c>
      <c r="N14" s="14">
        <f t="shared" si="5"/>
        <v>231</v>
      </c>
      <c r="O14" s="15">
        <f t="shared" si="6"/>
        <v>-1530</v>
      </c>
      <c r="Q14">
        <f>8834+297</f>
        <v>9131</v>
      </c>
    </row>
    <row r="15" spans="1:18" ht="15.75" customHeight="1" x14ac:dyDescent="0.25">
      <c r="A15" s="10">
        <v>7</v>
      </c>
      <c r="B15" s="11" t="s">
        <v>19</v>
      </c>
      <c r="C15" s="12">
        <v>3202</v>
      </c>
      <c r="D15" s="12">
        <f>F15+180</f>
        <v>1228</v>
      </c>
      <c r="E15" s="12">
        <v>2566</v>
      </c>
      <c r="F15" s="12">
        <f>1023+25</f>
        <v>1048</v>
      </c>
      <c r="G15" s="12">
        <f t="shared" si="0"/>
        <v>-636</v>
      </c>
      <c r="H15" s="13">
        <f t="shared" si="1"/>
        <v>0.19862585883822612</v>
      </c>
      <c r="I15" s="12">
        <f t="shared" si="2"/>
        <v>-180</v>
      </c>
      <c r="J15" s="13">
        <f t="shared" si="3"/>
        <v>0.1465798045602606</v>
      </c>
      <c r="K15" s="13">
        <f t="shared" si="4"/>
        <v>0.85342019543973946</v>
      </c>
      <c r="L15" s="14">
        <v>86</v>
      </c>
      <c r="M15" s="14">
        <v>157</v>
      </c>
      <c r="N15" s="14">
        <f t="shared" si="5"/>
        <v>71</v>
      </c>
      <c r="O15" s="15">
        <f t="shared" si="6"/>
        <v>1338</v>
      </c>
      <c r="R15" s="2">
        <f>8834-288</f>
        <v>8546</v>
      </c>
    </row>
    <row r="16" spans="1:18" ht="15.75" customHeight="1" x14ac:dyDescent="0.25">
      <c r="A16" s="10">
        <v>8</v>
      </c>
      <c r="B16" s="11" t="s">
        <v>20</v>
      </c>
      <c r="C16" s="12">
        <v>1623</v>
      </c>
      <c r="D16" s="12">
        <v>756</v>
      </c>
      <c r="E16" s="12">
        <f>1149+38</f>
        <v>1187</v>
      </c>
      <c r="F16" s="12">
        <v>568</v>
      </c>
      <c r="G16" s="12">
        <f t="shared" si="0"/>
        <v>-436</v>
      </c>
      <c r="H16" s="13">
        <f t="shared" si="1"/>
        <v>0.26863832409118915</v>
      </c>
      <c r="I16" s="12">
        <f t="shared" si="2"/>
        <v>-188</v>
      </c>
      <c r="J16" s="13">
        <f t="shared" si="3"/>
        <v>0.24867724867724866</v>
      </c>
      <c r="K16" s="13">
        <f t="shared" si="4"/>
        <v>0.75132275132275128</v>
      </c>
      <c r="L16" s="14">
        <v>103</v>
      </c>
      <c r="M16" s="14">
        <v>346</v>
      </c>
      <c r="N16" s="14">
        <f t="shared" si="5"/>
        <v>243</v>
      </c>
      <c r="O16" s="15">
        <f t="shared" si="6"/>
        <v>431</v>
      </c>
    </row>
    <row r="17" spans="1:22" ht="15.75" customHeight="1" x14ac:dyDescent="0.25">
      <c r="A17" s="10">
        <v>9</v>
      </c>
      <c r="B17" s="11" t="s">
        <v>21</v>
      </c>
      <c r="C17" s="12">
        <v>580</v>
      </c>
      <c r="D17" s="12">
        <v>275</v>
      </c>
      <c r="E17" s="12">
        <f>490+86</f>
        <v>576</v>
      </c>
      <c r="F17" s="12">
        <v>252</v>
      </c>
      <c r="G17" s="12">
        <f t="shared" si="0"/>
        <v>-4</v>
      </c>
      <c r="H17" s="13">
        <f t="shared" si="1"/>
        <v>6.8965517241379309E-3</v>
      </c>
      <c r="I17" s="12">
        <f t="shared" si="2"/>
        <v>-23</v>
      </c>
      <c r="J17" s="13">
        <f t="shared" si="3"/>
        <v>8.3636363636363634E-2</v>
      </c>
      <c r="K17" s="13">
        <f t="shared" si="4"/>
        <v>0.91636363636363638</v>
      </c>
      <c r="L17" s="14">
        <v>281</v>
      </c>
      <c r="M17" s="14">
        <v>533</v>
      </c>
      <c r="N17" s="14">
        <f t="shared" si="5"/>
        <v>252</v>
      </c>
      <c r="O17" s="15">
        <f t="shared" si="6"/>
        <v>301</v>
      </c>
    </row>
    <row r="18" spans="1:22" ht="15.75" customHeight="1" x14ac:dyDescent="0.25">
      <c r="A18" s="10">
        <v>10</v>
      </c>
      <c r="B18" s="11" t="s">
        <v>22</v>
      </c>
      <c r="C18" s="12">
        <v>1123</v>
      </c>
      <c r="D18" s="12">
        <v>940</v>
      </c>
      <c r="E18" s="12">
        <f>654+61</f>
        <v>715</v>
      </c>
      <c r="F18" s="12">
        <v>784</v>
      </c>
      <c r="G18" s="12">
        <f t="shared" si="0"/>
        <v>-408</v>
      </c>
      <c r="H18" s="13">
        <f t="shared" si="1"/>
        <v>0.36331255565449688</v>
      </c>
      <c r="I18" s="12">
        <f t="shared" si="2"/>
        <v>-156</v>
      </c>
      <c r="J18" s="13">
        <f t="shared" si="3"/>
        <v>0.16595744680851063</v>
      </c>
      <c r="K18" s="13">
        <f t="shared" si="4"/>
        <v>0.83404255319148934</v>
      </c>
      <c r="L18" s="14">
        <v>106</v>
      </c>
      <c r="M18" s="14">
        <v>481</v>
      </c>
      <c r="N18" s="14">
        <f t="shared" si="5"/>
        <v>375</v>
      </c>
      <c r="O18" s="15">
        <f t="shared" si="6"/>
        <v>-225</v>
      </c>
    </row>
    <row r="19" spans="1:22" ht="15.75" customHeight="1" x14ac:dyDescent="0.25">
      <c r="A19" s="10">
        <v>11</v>
      </c>
      <c r="B19" s="11" t="s">
        <v>23</v>
      </c>
      <c r="C19" s="12">
        <v>9939</v>
      </c>
      <c r="D19" s="12">
        <v>8556</v>
      </c>
      <c r="E19" s="12">
        <f>5583+1124</f>
        <v>6707</v>
      </c>
      <c r="F19" s="12">
        <f>E19-167</f>
        <v>6540</v>
      </c>
      <c r="G19" s="12">
        <f t="shared" si="0"/>
        <v>-3232</v>
      </c>
      <c r="H19" s="13">
        <f t="shared" si="1"/>
        <v>0.32518362008250329</v>
      </c>
      <c r="I19" s="12">
        <f t="shared" si="2"/>
        <v>-2016</v>
      </c>
      <c r="J19" s="13">
        <f t="shared" si="3"/>
        <v>0.23562412342215988</v>
      </c>
      <c r="K19" s="13">
        <f t="shared" si="4"/>
        <v>0.76437587657784012</v>
      </c>
      <c r="L19" s="14">
        <v>1915</v>
      </c>
      <c r="M19" s="14">
        <f>1294+1969+2002+1384</f>
        <v>6649</v>
      </c>
      <c r="N19" s="14">
        <f t="shared" si="5"/>
        <v>4734</v>
      </c>
      <c r="O19" s="15">
        <f t="shared" si="6"/>
        <v>-1849</v>
      </c>
      <c r="Q19" s="15"/>
    </row>
    <row r="20" spans="1:22" ht="15.75" customHeight="1" x14ac:dyDescent="0.25">
      <c r="A20" s="10">
        <v>12</v>
      </c>
      <c r="B20" s="11" t="s">
        <v>24</v>
      </c>
      <c r="C20" s="12">
        <v>2653</v>
      </c>
      <c r="D20" s="12">
        <v>1271</v>
      </c>
      <c r="E20" s="12">
        <f>2065+31</f>
        <v>2096</v>
      </c>
      <c r="F20" s="12">
        <v>835</v>
      </c>
      <c r="G20" s="12">
        <f t="shared" si="0"/>
        <v>-557</v>
      </c>
      <c r="H20" s="13">
        <f t="shared" si="1"/>
        <v>0.20995099886920468</v>
      </c>
      <c r="I20" s="12">
        <f t="shared" si="2"/>
        <v>-436</v>
      </c>
      <c r="J20" s="13">
        <f t="shared" si="3"/>
        <v>0.34303697875688433</v>
      </c>
      <c r="K20" s="13">
        <f t="shared" si="4"/>
        <v>0.65696302124311567</v>
      </c>
      <c r="L20" s="14">
        <v>164</v>
      </c>
      <c r="M20" s="14">
        <v>220</v>
      </c>
      <c r="N20" s="14">
        <f t="shared" si="5"/>
        <v>56</v>
      </c>
      <c r="O20" s="15">
        <f t="shared" si="6"/>
        <v>825</v>
      </c>
    </row>
    <row r="21" spans="1:22" ht="15.75" customHeight="1" x14ac:dyDescent="0.25">
      <c r="A21" s="10">
        <v>13</v>
      </c>
      <c r="B21" s="11" t="s">
        <v>25</v>
      </c>
      <c r="C21" s="12">
        <v>2649</v>
      </c>
      <c r="D21" s="12">
        <v>1797</v>
      </c>
      <c r="E21" s="12">
        <f>2115+78</f>
        <v>2193</v>
      </c>
      <c r="F21" s="12">
        <v>1410</v>
      </c>
      <c r="G21" s="12">
        <f t="shared" si="0"/>
        <v>-456</v>
      </c>
      <c r="H21" s="13">
        <f t="shared" si="1"/>
        <v>0.17214043035107587</v>
      </c>
      <c r="I21" s="12">
        <f t="shared" si="2"/>
        <v>-387</v>
      </c>
      <c r="J21" s="13">
        <f t="shared" si="3"/>
        <v>0.21535893155258765</v>
      </c>
      <c r="K21" s="13">
        <f t="shared" si="4"/>
        <v>0.78464106844741233</v>
      </c>
      <c r="L21" s="14">
        <v>155</v>
      </c>
      <c r="M21" s="14">
        <v>447</v>
      </c>
      <c r="N21" s="14">
        <f t="shared" si="5"/>
        <v>292</v>
      </c>
      <c r="O21" s="15">
        <f t="shared" si="6"/>
        <v>396</v>
      </c>
      <c r="S21" s="29"/>
      <c r="T21" s="29"/>
      <c r="U21" s="29"/>
      <c r="V21" s="29"/>
    </row>
    <row r="22" spans="1:22" ht="15.75" customHeight="1" x14ac:dyDescent="0.25">
      <c r="A22" s="10">
        <v>14</v>
      </c>
      <c r="B22" s="11" t="s">
        <v>26</v>
      </c>
      <c r="C22" s="12">
        <v>788</v>
      </c>
      <c r="D22" s="12">
        <v>77</v>
      </c>
      <c r="E22" s="12">
        <f>763</f>
        <v>763</v>
      </c>
      <c r="F22" s="12">
        <v>53</v>
      </c>
      <c r="G22" s="12">
        <f t="shared" si="0"/>
        <v>-25</v>
      </c>
      <c r="H22" s="13">
        <f t="shared" si="1"/>
        <v>3.1725888324873094E-2</v>
      </c>
      <c r="I22" s="12">
        <f t="shared" si="2"/>
        <v>-24</v>
      </c>
      <c r="J22" s="13">
        <f t="shared" si="3"/>
        <v>0.31168831168831168</v>
      </c>
      <c r="K22" s="13">
        <f t="shared" si="4"/>
        <v>0.68831168831168832</v>
      </c>
      <c r="L22" s="14">
        <v>126</v>
      </c>
      <c r="M22" s="14">
        <v>179</v>
      </c>
      <c r="N22" s="14">
        <f t="shared" si="5"/>
        <v>53</v>
      </c>
      <c r="O22" s="15">
        <f t="shared" si="6"/>
        <v>686</v>
      </c>
    </row>
    <row r="23" spans="1:22" ht="15.75" customHeight="1" x14ac:dyDescent="0.25">
      <c r="A23" s="10">
        <v>15</v>
      </c>
      <c r="B23" s="11" t="s">
        <v>27</v>
      </c>
      <c r="C23" s="12">
        <v>3282</v>
      </c>
      <c r="D23" s="12">
        <v>799</v>
      </c>
      <c r="E23" s="12">
        <f>2843+32</f>
        <v>2875</v>
      </c>
      <c r="F23" s="12">
        <v>675</v>
      </c>
      <c r="G23" s="12">
        <f t="shared" si="0"/>
        <v>-407</v>
      </c>
      <c r="H23" s="13">
        <f t="shared" si="1"/>
        <v>0.12400975015234612</v>
      </c>
      <c r="I23" s="12">
        <f t="shared" si="2"/>
        <v>-124</v>
      </c>
      <c r="J23" s="13">
        <f t="shared" si="3"/>
        <v>0.15519399249061328</v>
      </c>
      <c r="K23" s="13">
        <f t="shared" si="4"/>
        <v>0.84480600750938672</v>
      </c>
      <c r="L23" s="14">
        <v>142</v>
      </c>
      <c r="M23" s="14">
        <v>817</v>
      </c>
      <c r="N23" s="14">
        <f t="shared" si="5"/>
        <v>675</v>
      </c>
      <c r="O23" s="15">
        <f t="shared" si="6"/>
        <v>2076</v>
      </c>
    </row>
    <row r="24" spans="1:22" ht="15.75" customHeight="1" x14ac:dyDescent="0.25">
      <c r="A24" s="10">
        <v>16</v>
      </c>
      <c r="B24" s="11" t="s">
        <v>28</v>
      </c>
      <c r="C24" s="12">
        <v>1890</v>
      </c>
      <c r="D24" s="12">
        <f>183+201+337+7+68</f>
        <v>796</v>
      </c>
      <c r="E24" s="12">
        <f>1567+4</f>
        <v>1571</v>
      </c>
      <c r="F24" s="12">
        <f>150+190+272+57</f>
        <v>669</v>
      </c>
      <c r="G24" s="12">
        <f t="shared" si="0"/>
        <v>-319</v>
      </c>
      <c r="H24" s="13">
        <f t="shared" si="1"/>
        <v>0.16878306878306878</v>
      </c>
      <c r="I24" s="12">
        <f t="shared" si="2"/>
        <v>-127</v>
      </c>
      <c r="J24" s="13">
        <f t="shared" si="3"/>
        <v>0.15954773869346733</v>
      </c>
      <c r="K24" s="13">
        <f t="shared" si="4"/>
        <v>0.84045226130653261</v>
      </c>
      <c r="L24" s="14">
        <v>21</v>
      </c>
      <c r="M24" s="14">
        <v>53</v>
      </c>
      <c r="N24" s="14">
        <f t="shared" si="5"/>
        <v>32</v>
      </c>
      <c r="O24" s="15">
        <f t="shared" si="6"/>
        <v>775</v>
      </c>
    </row>
    <row r="25" spans="1:22" ht="15.75" customHeight="1" x14ac:dyDescent="0.25">
      <c r="A25" s="10">
        <v>17</v>
      </c>
      <c r="B25" s="11" t="s">
        <v>29</v>
      </c>
      <c r="C25" s="12">
        <v>897</v>
      </c>
      <c r="D25" s="12">
        <v>627</v>
      </c>
      <c r="E25" s="12">
        <v>891</v>
      </c>
      <c r="F25" s="12">
        <f>661-119</f>
        <v>542</v>
      </c>
      <c r="G25" s="12">
        <f t="shared" si="0"/>
        <v>-6</v>
      </c>
      <c r="H25" s="13">
        <f t="shared" si="1"/>
        <v>6.688963210702341E-3</v>
      </c>
      <c r="I25" s="12">
        <f t="shared" si="2"/>
        <v>-85</v>
      </c>
      <c r="J25" s="13">
        <f t="shared" si="3"/>
        <v>0.13556618819776714</v>
      </c>
      <c r="K25" s="13">
        <f t="shared" si="4"/>
        <v>0.86443381180223289</v>
      </c>
      <c r="L25" s="14">
        <v>64</v>
      </c>
      <c r="M25" s="14">
        <v>266</v>
      </c>
      <c r="N25" s="14">
        <f t="shared" si="5"/>
        <v>202</v>
      </c>
      <c r="O25" s="15">
        <f t="shared" si="6"/>
        <v>264</v>
      </c>
    </row>
    <row r="26" spans="1:22" ht="15.75" customHeight="1" x14ac:dyDescent="0.25">
      <c r="A26" s="10">
        <v>18</v>
      </c>
      <c r="B26" s="11" t="s">
        <v>30</v>
      </c>
      <c r="C26" s="12">
        <v>4595</v>
      </c>
      <c r="D26" s="12">
        <v>977</v>
      </c>
      <c r="E26" s="12">
        <f>1459+38</f>
        <v>1497</v>
      </c>
      <c r="F26" s="12">
        <v>803</v>
      </c>
      <c r="G26" s="12">
        <f t="shared" si="0"/>
        <v>-3098</v>
      </c>
      <c r="H26" s="13">
        <f t="shared" si="1"/>
        <v>0.67421109902067466</v>
      </c>
      <c r="I26" s="12">
        <f t="shared" si="2"/>
        <v>-174</v>
      </c>
      <c r="J26" s="13">
        <f t="shared" si="3"/>
        <v>0.17809621289662231</v>
      </c>
      <c r="K26" s="13">
        <f t="shared" si="4"/>
        <v>0.82190378710337764</v>
      </c>
      <c r="L26" s="14">
        <v>447</v>
      </c>
      <c r="M26" s="14">
        <v>523</v>
      </c>
      <c r="N26" s="14">
        <f t="shared" si="5"/>
        <v>76</v>
      </c>
      <c r="O26" s="15">
        <f t="shared" si="6"/>
        <v>520</v>
      </c>
    </row>
    <row r="27" spans="1:22" ht="15.75" customHeight="1" x14ac:dyDescent="0.25">
      <c r="A27" s="10">
        <v>19</v>
      </c>
      <c r="B27" s="17" t="s">
        <v>31</v>
      </c>
      <c r="C27" s="12">
        <v>585</v>
      </c>
      <c r="D27" s="12">
        <v>0</v>
      </c>
      <c r="E27" s="12">
        <f>457+59</f>
        <v>516</v>
      </c>
      <c r="F27" s="12">
        <v>0</v>
      </c>
      <c r="G27" s="12">
        <f t="shared" si="0"/>
        <v>-69</v>
      </c>
      <c r="H27" s="13">
        <f t="shared" si="1"/>
        <v>0.11794871794871795</v>
      </c>
      <c r="I27" s="12">
        <f t="shared" si="2"/>
        <v>0</v>
      </c>
      <c r="J27" s="13">
        <v>0</v>
      </c>
      <c r="K27" s="13" t="e">
        <f t="shared" si="4"/>
        <v>#DIV/0!</v>
      </c>
      <c r="L27" s="14">
        <v>102</v>
      </c>
      <c r="M27" s="14">
        <v>162</v>
      </c>
      <c r="N27" s="14">
        <f t="shared" si="5"/>
        <v>60</v>
      </c>
      <c r="O27" s="15">
        <f t="shared" si="6"/>
        <v>516</v>
      </c>
    </row>
    <row r="28" spans="1:22" ht="15.75" customHeight="1" x14ac:dyDescent="0.25">
      <c r="A28" s="10">
        <v>20</v>
      </c>
      <c r="B28" s="11" t="s">
        <v>32</v>
      </c>
      <c r="C28" s="12">
        <v>1803</v>
      </c>
      <c r="D28" s="12">
        <v>1272</v>
      </c>
      <c r="E28" s="12">
        <v>1681</v>
      </c>
      <c r="F28" s="12">
        <f>1681-945</f>
        <v>736</v>
      </c>
      <c r="G28" s="12">
        <f t="shared" si="0"/>
        <v>-122</v>
      </c>
      <c r="H28" s="13">
        <f t="shared" si="1"/>
        <v>6.7665002773155847E-2</v>
      </c>
      <c r="I28" s="12">
        <f t="shared" si="2"/>
        <v>-536</v>
      </c>
      <c r="J28" s="13">
        <f t="shared" ref="J28:J34" si="7">-I28/D28</f>
        <v>0.42138364779874216</v>
      </c>
      <c r="K28" s="13">
        <f t="shared" si="4"/>
        <v>0.57861635220125784</v>
      </c>
      <c r="L28" s="14">
        <v>225</v>
      </c>
      <c r="M28" s="14">
        <v>623</v>
      </c>
      <c r="N28" s="14">
        <f t="shared" si="5"/>
        <v>398</v>
      </c>
      <c r="O28" s="15">
        <f t="shared" si="6"/>
        <v>409</v>
      </c>
    </row>
    <row r="29" spans="1:22" ht="15.75" customHeight="1" x14ac:dyDescent="0.25">
      <c r="A29" s="10">
        <v>21</v>
      </c>
      <c r="B29" s="11" t="s">
        <v>33</v>
      </c>
      <c r="C29" s="12">
        <v>889</v>
      </c>
      <c r="D29" s="12">
        <v>798</v>
      </c>
      <c r="E29" s="12">
        <f>580+37+8</f>
        <v>625</v>
      </c>
      <c r="F29" s="12">
        <v>580</v>
      </c>
      <c r="G29" s="12">
        <f t="shared" si="0"/>
        <v>-264</v>
      </c>
      <c r="H29" s="13">
        <f t="shared" si="1"/>
        <v>0.29696287964004497</v>
      </c>
      <c r="I29" s="12">
        <f t="shared" si="2"/>
        <v>-218</v>
      </c>
      <c r="J29" s="13">
        <f t="shared" si="7"/>
        <v>0.27318295739348369</v>
      </c>
      <c r="K29" s="13">
        <f t="shared" si="4"/>
        <v>0.72681704260651625</v>
      </c>
      <c r="L29" s="14">
        <v>103</v>
      </c>
      <c r="M29" s="14">
        <v>195</v>
      </c>
      <c r="N29" s="14">
        <f t="shared" si="5"/>
        <v>92</v>
      </c>
      <c r="O29" s="15">
        <f t="shared" si="6"/>
        <v>-173</v>
      </c>
    </row>
    <row r="30" spans="1:22" ht="15.75" customHeight="1" x14ac:dyDescent="0.25">
      <c r="A30" s="10">
        <v>22</v>
      </c>
      <c r="B30" s="11" t="s">
        <v>34</v>
      </c>
      <c r="C30" s="12">
        <v>1793</v>
      </c>
      <c r="D30" s="12">
        <v>1793</v>
      </c>
      <c r="E30" s="12">
        <v>1706</v>
      </c>
      <c r="F30" s="12">
        <v>1701</v>
      </c>
      <c r="G30" s="12">
        <f t="shared" si="0"/>
        <v>-87</v>
      </c>
      <c r="H30" s="13">
        <f t="shared" si="1"/>
        <v>4.8522030117122139E-2</v>
      </c>
      <c r="I30" s="12">
        <f t="shared" si="2"/>
        <v>-92</v>
      </c>
      <c r="J30" s="13">
        <f t="shared" si="7"/>
        <v>5.1310652537646405E-2</v>
      </c>
      <c r="K30" s="13">
        <f t="shared" si="4"/>
        <v>0.94868934746235356</v>
      </c>
      <c r="L30" s="14">
        <f>141-37</f>
        <v>104</v>
      </c>
      <c r="M30" s="14">
        <v>197</v>
      </c>
      <c r="N30" s="14">
        <f t="shared" si="5"/>
        <v>93</v>
      </c>
      <c r="O30" s="15">
        <f t="shared" si="6"/>
        <v>-87</v>
      </c>
    </row>
    <row r="31" spans="1:22" ht="15.75" customHeight="1" x14ac:dyDescent="0.25">
      <c r="A31" s="10">
        <v>23</v>
      </c>
      <c r="B31" s="11" t="s">
        <v>35</v>
      </c>
      <c r="C31" s="12">
        <v>448</v>
      </c>
      <c r="D31" s="12">
        <f>221+38</f>
        <v>259</v>
      </c>
      <c r="E31" s="12">
        <f>341+100</f>
        <v>441</v>
      </c>
      <c r="F31" s="12">
        <f>169+38</f>
        <v>207</v>
      </c>
      <c r="G31" s="12">
        <f t="shared" si="0"/>
        <v>-7</v>
      </c>
      <c r="H31" s="13">
        <f t="shared" si="1"/>
        <v>1.5625E-2</v>
      </c>
      <c r="I31" s="12">
        <f t="shared" si="2"/>
        <v>-52</v>
      </c>
      <c r="J31" s="13">
        <f t="shared" si="7"/>
        <v>0.20077220077220076</v>
      </c>
      <c r="K31" s="13">
        <f t="shared" si="4"/>
        <v>0.79922779922779918</v>
      </c>
      <c r="L31" s="14">
        <v>170</v>
      </c>
      <c r="M31" s="14">
        <v>339</v>
      </c>
      <c r="N31" s="14">
        <f t="shared" si="5"/>
        <v>169</v>
      </c>
      <c r="O31" s="15">
        <f t="shared" si="6"/>
        <v>182</v>
      </c>
    </row>
    <row r="32" spans="1:22" ht="15.75" customHeight="1" x14ac:dyDescent="0.25">
      <c r="A32" s="10">
        <v>24</v>
      </c>
      <c r="B32" s="11" t="s">
        <v>36</v>
      </c>
      <c r="C32" s="12">
        <v>2485</v>
      </c>
      <c r="D32" s="12">
        <f>1676+469</f>
        <v>2145</v>
      </c>
      <c r="E32" s="12">
        <v>1697</v>
      </c>
      <c r="F32" s="12">
        <v>1338</v>
      </c>
      <c r="G32" s="12">
        <f t="shared" si="0"/>
        <v>-788</v>
      </c>
      <c r="H32" s="13">
        <f t="shared" si="1"/>
        <v>0.31710261569416498</v>
      </c>
      <c r="I32" s="12">
        <f t="shared" si="2"/>
        <v>-807</v>
      </c>
      <c r="J32" s="13">
        <f t="shared" si="7"/>
        <v>0.37622377622377623</v>
      </c>
      <c r="K32" s="13">
        <f t="shared" si="4"/>
        <v>0.62377622377622377</v>
      </c>
      <c r="L32" s="14">
        <f>219-14</f>
        <v>205</v>
      </c>
      <c r="M32" s="14">
        <v>406</v>
      </c>
      <c r="N32" s="14">
        <f t="shared" si="5"/>
        <v>201</v>
      </c>
      <c r="O32" s="15">
        <f t="shared" si="6"/>
        <v>-448</v>
      </c>
    </row>
    <row r="33" spans="1:15" ht="15.75" customHeight="1" x14ac:dyDescent="0.25">
      <c r="A33" s="10">
        <v>25</v>
      </c>
      <c r="B33" s="11" t="s">
        <v>37</v>
      </c>
      <c r="C33" s="12">
        <v>4243</v>
      </c>
      <c r="D33" s="12">
        <v>893</v>
      </c>
      <c r="E33" s="12">
        <f>2238+100</f>
        <v>2338</v>
      </c>
      <c r="F33" s="12">
        <f>731+N33</f>
        <v>831</v>
      </c>
      <c r="G33" s="12">
        <f t="shared" si="0"/>
        <v>-1905</v>
      </c>
      <c r="H33" s="13">
        <f t="shared" si="1"/>
        <v>0.44897478199387225</v>
      </c>
      <c r="I33" s="12">
        <f t="shared" si="2"/>
        <v>-62</v>
      </c>
      <c r="J33" s="13">
        <f t="shared" si="7"/>
        <v>6.942889137737962E-2</v>
      </c>
      <c r="K33" s="13">
        <f t="shared" si="4"/>
        <v>0.93057110862262038</v>
      </c>
      <c r="L33" s="14">
        <v>103</v>
      </c>
      <c r="M33" s="14">
        <v>203</v>
      </c>
      <c r="N33" s="14">
        <f t="shared" si="5"/>
        <v>100</v>
      </c>
      <c r="O33" s="15">
        <f t="shared" si="6"/>
        <v>1445</v>
      </c>
    </row>
    <row r="34" spans="1:15" ht="18.75" customHeight="1" x14ac:dyDescent="0.25">
      <c r="A34" s="76" t="s">
        <v>38</v>
      </c>
      <c r="B34" s="76"/>
      <c r="C34" s="18">
        <f>SUM(C9:C33)</f>
        <v>67841</v>
      </c>
      <c r="D34" s="18">
        <f>SUM(D9:D33)</f>
        <v>44072</v>
      </c>
      <c r="E34" s="18">
        <f>SUM(E9:E33)</f>
        <v>51664</v>
      </c>
      <c r="F34" s="18">
        <f>SUM(F9:F33)</f>
        <v>35054</v>
      </c>
      <c r="G34" s="19">
        <f t="shared" si="0"/>
        <v>-16177</v>
      </c>
      <c r="H34" s="20">
        <f t="shared" si="1"/>
        <v>0.23845462183635266</v>
      </c>
      <c r="I34" s="19">
        <f t="shared" si="2"/>
        <v>-9018</v>
      </c>
      <c r="J34" s="20">
        <f t="shared" si="7"/>
        <v>0.20461971319658739</v>
      </c>
      <c r="K34" s="21">
        <f t="shared" si="4"/>
        <v>0.79538028680341255</v>
      </c>
      <c r="L34" s="14">
        <f>SUM(L9:L33)</f>
        <v>5879</v>
      </c>
      <c r="M34" s="14">
        <f>SUM(M9:M33)</f>
        <v>16786</v>
      </c>
      <c r="N34" s="14">
        <f>SUM(N9:N33)</f>
        <v>10907</v>
      </c>
    </row>
  </sheetData>
  <mergeCells count="12">
    <mergeCell ref="L7:L8"/>
    <mergeCell ref="N7:N8"/>
    <mergeCell ref="A34:B34"/>
    <mergeCell ref="A5:J5"/>
    <mergeCell ref="A6:A7"/>
    <mergeCell ref="B6:B7"/>
    <mergeCell ref="C6:C7"/>
    <mergeCell ref="D6:D7"/>
    <mergeCell ref="E6:E7"/>
    <mergeCell ref="F6:F7"/>
    <mergeCell ref="G6:H6"/>
    <mergeCell ref="I6:J6"/>
  </mergeCells>
  <pageMargins left="0.25" right="0.25" top="0.75" bottom="0.75" header="0.51180555555555496" footer="0.51180555555555496"/>
  <pageSetup paperSize="9" scale="87" firstPageNumber="0" orientation="landscape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J39"/>
  <sheetViews>
    <sheetView tabSelected="1" view="pageBreakPreview" topLeftCell="A7" zoomScaleNormal="100" workbookViewId="0">
      <selection activeCell="E29" sqref="E29"/>
    </sheetView>
  </sheetViews>
  <sheetFormatPr defaultColWidth="8.42578125" defaultRowHeight="15" x14ac:dyDescent="0.25"/>
  <cols>
    <col min="1" max="1" width="4.7109375" style="2" customWidth="1"/>
    <col min="2" max="2" width="28.28515625" style="2" customWidth="1"/>
    <col min="3" max="3" width="22.85546875" style="2" customWidth="1"/>
    <col min="4" max="4" width="7.140625" style="2" customWidth="1"/>
    <col min="5" max="5" width="8.7109375" style="2" customWidth="1"/>
    <col min="6" max="6" width="7.140625" style="2" customWidth="1"/>
    <col min="7" max="7" width="6.28515625" style="2" customWidth="1"/>
    <col min="8" max="8" width="7.140625" style="2" customWidth="1"/>
    <col min="9" max="9" width="6.28515625" style="2" customWidth="1"/>
    <col min="10" max="10" width="16" style="2" customWidth="1"/>
    <col min="11" max="11" width="15.42578125" style="2" customWidth="1"/>
    <col min="12" max="12" width="14.85546875" style="2" customWidth="1"/>
    <col min="13" max="13" width="8.5703125" style="2" customWidth="1"/>
    <col min="14" max="14" width="15.42578125" style="2" customWidth="1"/>
    <col min="15" max="15" width="14.85546875" style="2" customWidth="1"/>
    <col min="16" max="16" width="8.5703125" style="2" customWidth="1"/>
    <col min="17" max="17" width="11.85546875" style="30" customWidth="1"/>
    <col min="18" max="19" width="15.7109375" style="30" customWidth="1"/>
    <col min="20" max="20" width="12.7109375" style="30" customWidth="1"/>
    <col min="21" max="21" width="15.28515625" style="30" customWidth="1"/>
    <col min="22" max="22" width="10.85546875" style="30" customWidth="1"/>
    <col min="23" max="23" width="10.42578125" style="30" customWidth="1"/>
    <col min="24" max="24" width="15.28515625" style="30" customWidth="1"/>
    <col min="25" max="27" width="13.85546875" style="2" customWidth="1"/>
    <col min="28" max="28" width="46.7109375" style="2" customWidth="1"/>
    <col min="29" max="32" width="13" style="2" hidden="1" customWidth="1"/>
    <col min="33" max="33" width="14.140625" style="2" customWidth="1"/>
  </cols>
  <sheetData>
    <row r="1" spans="1:36" x14ac:dyDescent="0.25">
      <c r="V1" s="89"/>
      <c r="W1" s="89"/>
      <c r="X1" s="89"/>
      <c r="AB1" s="31" t="s">
        <v>45</v>
      </c>
    </row>
    <row r="2" spans="1:36" ht="21" customHeight="1" x14ac:dyDescent="0.25">
      <c r="A2" s="90" t="s">
        <v>46</v>
      </c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  <c r="V2" s="90"/>
      <c r="W2" s="90"/>
      <c r="X2" s="90"/>
      <c r="Y2" s="32"/>
      <c r="Z2" s="32"/>
      <c r="AA2" s="32"/>
      <c r="AB2" s="32"/>
    </row>
    <row r="3" spans="1:36" ht="16.5" customHeight="1" x14ac:dyDescent="0.25">
      <c r="A3" s="78" t="s">
        <v>1</v>
      </c>
      <c r="B3" s="79" t="s">
        <v>2</v>
      </c>
      <c r="C3" s="91" t="s">
        <v>47</v>
      </c>
      <c r="D3" s="91"/>
      <c r="E3" s="91"/>
      <c r="F3" s="91"/>
      <c r="G3" s="91"/>
      <c r="H3" s="91"/>
      <c r="I3" s="91"/>
      <c r="J3" s="91"/>
      <c r="K3" s="91"/>
      <c r="L3" s="91"/>
      <c r="M3" s="91"/>
      <c r="N3" s="91"/>
      <c r="O3" s="91"/>
      <c r="P3" s="91"/>
      <c r="Q3" s="91"/>
      <c r="R3" s="91"/>
      <c r="S3" s="91"/>
      <c r="T3" s="91"/>
      <c r="U3" s="91"/>
      <c r="V3" s="91"/>
      <c r="W3" s="91"/>
      <c r="X3" s="91"/>
      <c r="Y3" s="85" t="s">
        <v>48</v>
      </c>
      <c r="Z3" s="85"/>
      <c r="AA3" s="85"/>
      <c r="AB3" s="34"/>
    </row>
    <row r="4" spans="1:36" ht="39" customHeight="1" x14ac:dyDescent="0.25">
      <c r="A4" s="78"/>
      <c r="B4" s="78"/>
      <c r="C4" s="78" t="s">
        <v>49</v>
      </c>
      <c r="D4" s="85" t="s">
        <v>50</v>
      </c>
      <c r="E4" s="85"/>
      <c r="F4" s="85"/>
      <c r="G4" s="85"/>
      <c r="H4" s="85"/>
      <c r="I4" s="85"/>
      <c r="J4" s="8"/>
      <c r="K4" s="86" t="s">
        <v>51</v>
      </c>
      <c r="L4" s="86"/>
      <c r="M4" s="86"/>
      <c r="N4" s="86"/>
      <c r="O4" s="86"/>
      <c r="P4" s="86"/>
      <c r="Q4" s="35"/>
      <c r="R4" s="35"/>
      <c r="S4" s="35"/>
      <c r="T4" s="35"/>
      <c r="U4" s="35"/>
      <c r="V4" s="35"/>
      <c r="W4" s="35"/>
      <c r="X4" s="35"/>
      <c r="Y4" s="36"/>
      <c r="Z4" s="35"/>
      <c r="AA4" s="35"/>
      <c r="AB4" s="37"/>
    </row>
    <row r="5" spans="1:36" ht="66" customHeight="1" x14ac:dyDescent="0.25">
      <c r="A5" s="78"/>
      <c r="B5" s="78"/>
      <c r="C5" s="78"/>
      <c r="D5" s="85" t="s">
        <v>52</v>
      </c>
      <c r="E5" s="85"/>
      <c r="F5" s="85" t="s">
        <v>53</v>
      </c>
      <c r="G5" s="85"/>
      <c r="H5" s="85" t="s">
        <v>54</v>
      </c>
      <c r="I5" s="85"/>
      <c r="J5" s="80" t="s">
        <v>55</v>
      </c>
      <c r="K5" s="87" t="s">
        <v>56</v>
      </c>
      <c r="L5" s="87"/>
      <c r="M5" s="87"/>
      <c r="N5" s="87" t="s">
        <v>57</v>
      </c>
      <c r="O5" s="87"/>
      <c r="P5" s="87"/>
      <c r="Q5" s="88" t="s">
        <v>58</v>
      </c>
      <c r="R5" s="88" t="s">
        <v>59</v>
      </c>
      <c r="S5" s="88" t="s">
        <v>60</v>
      </c>
      <c r="T5" s="88" t="s">
        <v>61</v>
      </c>
      <c r="U5" s="88" t="s">
        <v>62</v>
      </c>
      <c r="V5" s="88" t="s">
        <v>63</v>
      </c>
      <c r="W5" s="88"/>
      <c r="X5" s="92" t="s">
        <v>64</v>
      </c>
      <c r="Y5" s="83" t="s">
        <v>65</v>
      </c>
      <c r="Z5" s="80" t="s">
        <v>66</v>
      </c>
      <c r="AA5" s="80" t="s">
        <v>64</v>
      </c>
      <c r="AB5" s="84" t="s">
        <v>67</v>
      </c>
      <c r="AC5" s="75"/>
      <c r="AD5" s="80" t="s">
        <v>68</v>
      </c>
      <c r="AE5" s="80"/>
    </row>
    <row r="6" spans="1:36" ht="51" customHeight="1" x14ac:dyDescent="0.25">
      <c r="A6" s="78"/>
      <c r="B6" s="78"/>
      <c r="C6" s="78"/>
      <c r="D6" s="3" t="s">
        <v>69</v>
      </c>
      <c r="E6" s="3" t="s">
        <v>70</v>
      </c>
      <c r="F6" s="3" t="s">
        <v>69</v>
      </c>
      <c r="G6" s="3" t="s">
        <v>70</v>
      </c>
      <c r="H6" s="3" t="s">
        <v>69</v>
      </c>
      <c r="I6" s="3" t="s">
        <v>70</v>
      </c>
      <c r="J6" s="80"/>
      <c r="K6" s="33" t="s">
        <v>52</v>
      </c>
      <c r="L6" s="33" t="s">
        <v>71</v>
      </c>
      <c r="M6" s="33" t="s">
        <v>54</v>
      </c>
      <c r="N6" s="33" t="s">
        <v>52</v>
      </c>
      <c r="O6" s="33" t="s">
        <v>71</v>
      </c>
      <c r="P6" s="33" t="s">
        <v>54</v>
      </c>
      <c r="Q6" s="88"/>
      <c r="R6" s="88"/>
      <c r="S6" s="88"/>
      <c r="T6" s="88"/>
      <c r="U6" s="88"/>
      <c r="V6" s="38" t="s">
        <v>9</v>
      </c>
      <c r="W6" s="39" t="s">
        <v>72</v>
      </c>
      <c r="X6" s="92"/>
      <c r="Y6" s="83"/>
      <c r="Z6" s="80"/>
      <c r="AA6" s="80"/>
      <c r="AB6" s="80"/>
      <c r="AC6" s="75"/>
      <c r="AD6" s="6" t="s">
        <v>9</v>
      </c>
      <c r="AE6" s="6" t="s">
        <v>72</v>
      </c>
    </row>
    <row r="7" spans="1:36" ht="15.75" customHeight="1" x14ac:dyDescent="0.25">
      <c r="A7" s="8">
        <v>1</v>
      </c>
      <c r="B7" s="8">
        <v>2</v>
      </c>
      <c r="C7" s="40">
        <v>3</v>
      </c>
      <c r="D7" s="40">
        <v>4</v>
      </c>
      <c r="E7" s="40">
        <v>5</v>
      </c>
      <c r="F7" s="40">
        <v>6</v>
      </c>
      <c r="G7" s="40">
        <v>7</v>
      </c>
      <c r="H7" s="40">
        <v>8</v>
      </c>
      <c r="I7" s="40">
        <v>9</v>
      </c>
      <c r="J7" s="40">
        <v>10</v>
      </c>
      <c r="K7" s="40">
        <v>11</v>
      </c>
      <c r="L7" s="40">
        <v>12</v>
      </c>
      <c r="M7" s="40">
        <v>13</v>
      </c>
      <c r="N7" s="40">
        <v>14</v>
      </c>
      <c r="O7" s="40">
        <v>15</v>
      </c>
      <c r="P7" s="41">
        <v>16</v>
      </c>
      <c r="Q7" s="35" t="s">
        <v>73</v>
      </c>
      <c r="R7" s="35">
        <v>16</v>
      </c>
      <c r="S7" s="35">
        <v>17</v>
      </c>
      <c r="T7" s="35">
        <v>18</v>
      </c>
      <c r="U7" s="35">
        <v>19</v>
      </c>
      <c r="V7" s="35">
        <v>20</v>
      </c>
      <c r="W7" s="35">
        <v>21</v>
      </c>
      <c r="X7" s="35">
        <v>22</v>
      </c>
      <c r="Y7" s="42">
        <v>18</v>
      </c>
      <c r="Z7" s="40">
        <v>19</v>
      </c>
      <c r="AA7" s="40">
        <v>20</v>
      </c>
      <c r="AB7" s="40">
        <v>21</v>
      </c>
      <c r="AC7" s="43"/>
      <c r="AD7" s="8">
        <v>22</v>
      </c>
      <c r="AE7" s="8">
        <v>23</v>
      </c>
    </row>
    <row r="8" spans="1:36" ht="15.75" customHeight="1" x14ac:dyDescent="0.25">
      <c r="A8" s="44">
        <v>1</v>
      </c>
      <c r="B8" s="45" t="s">
        <v>13</v>
      </c>
      <c r="C8" s="46"/>
      <c r="D8" s="47"/>
      <c r="E8" s="47"/>
      <c r="F8" s="47"/>
      <c r="G8" s="47"/>
      <c r="H8" s="47"/>
      <c r="I8" s="47"/>
      <c r="J8" s="38" t="e">
        <f>E8,G8,I8</f>
        <v>#VALUE!</v>
      </c>
      <c r="K8" s="46"/>
      <c r="L8" s="46"/>
      <c r="M8" s="46"/>
      <c r="N8" s="46"/>
      <c r="O8" s="46"/>
      <c r="P8" s="48"/>
      <c r="Q8" s="46" t="e">
        <f t="shared" ref="Q8:Q28" si="0">C8-J8</f>
        <v>#VALUE!</v>
      </c>
      <c r="R8" s="46">
        <f t="shared" ref="R8:R28" si="1">SUM(N8:O8)</f>
        <v>0</v>
      </c>
      <c r="S8" s="46" t="e">
        <f t="shared" ref="S8:S28" si="2">K8:O8</f>
        <v>#VALUE!</v>
      </c>
      <c r="T8" s="46">
        <f t="shared" ref="T8:T28" si="3">K8+N8</f>
        <v>0</v>
      </c>
      <c r="U8" s="46">
        <f t="shared" ref="U8:U28" si="4">L8+O8</f>
        <v>0</v>
      </c>
      <c r="V8" s="46" t="e">
        <f t="shared" ref="V8:V32" si="5">C8-S8</f>
        <v>#VALUE!</v>
      </c>
      <c r="W8" s="49" t="e">
        <f t="shared" ref="W8:W32" si="6">V8/C8</f>
        <v>#VALUE!</v>
      </c>
      <c r="X8" s="49" t="e">
        <f t="shared" ref="X8:X32" si="7">S8/C8</f>
        <v>#VALUE!</v>
      </c>
      <c r="Y8" s="50"/>
      <c r="Z8" s="46"/>
      <c r="AA8" s="49" t="e">
        <f t="shared" ref="AA8:AA32" si="8">Z8/Y8</f>
        <v>#DIV/0!</v>
      </c>
      <c r="AB8" s="51"/>
      <c r="AC8" s="14"/>
      <c r="AD8" s="12" t="e">
        <f t="shared" ref="AD8:AD32" si="9">J8-K8</f>
        <v>#VALUE!</v>
      </c>
      <c r="AE8" s="13" t="e">
        <f t="shared" ref="AE8:AE33" si="10">AD8/J8</f>
        <v>#VALUE!</v>
      </c>
      <c r="AG8" s="15"/>
      <c r="AJ8" s="15"/>
    </row>
    <row r="9" spans="1:36" ht="15.75" customHeight="1" x14ac:dyDescent="0.25">
      <c r="A9" s="44">
        <v>2</v>
      </c>
      <c r="B9" s="52" t="s">
        <v>14</v>
      </c>
      <c r="C9" s="46"/>
      <c r="D9" s="47"/>
      <c r="E9" s="47"/>
      <c r="F9" s="47"/>
      <c r="G9" s="47"/>
      <c r="H9" s="47"/>
      <c r="I9" s="47"/>
      <c r="J9" s="38" t="e">
        <f>E9,G9,I9</f>
        <v>#VALUE!</v>
      </c>
      <c r="K9" s="46"/>
      <c r="L9" s="46"/>
      <c r="M9" s="46"/>
      <c r="N9" s="46"/>
      <c r="O9" s="46"/>
      <c r="P9" s="48"/>
      <c r="Q9" s="46" t="e">
        <f t="shared" si="0"/>
        <v>#VALUE!</v>
      </c>
      <c r="R9" s="46">
        <f t="shared" si="1"/>
        <v>0</v>
      </c>
      <c r="S9" s="46" t="e">
        <f t="shared" si="2"/>
        <v>#VALUE!</v>
      </c>
      <c r="T9" s="46">
        <f t="shared" si="3"/>
        <v>0</v>
      </c>
      <c r="U9" s="46">
        <f t="shared" si="4"/>
        <v>0</v>
      </c>
      <c r="V9" s="46" t="e">
        <f t="shared" si="5"/>
        <v>#VALUE!</v>
      </c>
      <c r="W9" s="49" t="e">
        <f t="shared" si="6"/>
        <v>#VALUE!</v>
      </c>
      <c r="X9" s="49" t="e">
        <f t="shared" si="7"/>
        <v>#VALUE!</v>
      </c>
      <c r="Y9" s="50"/>
      <c r="Z9" s="46"/>
      <c r="AA9" s="49" t="e">
        <f t="shared" si="8"/>
        <v>#DIV/0!</v>
      </c>
      <c r="AB9" s="53"/>
      <c r="AC9" s="14"/>
      <c r="AD9" s="12" t="e">
        <f t="shared" si="9"/>
        <v>#VALUE!</v>
      </c>
      <c r="AE9" s="13" t="e">
        <f t="shared" si="10"/>
        <v>#VALUE!</v>
      </c>
      <c r="AG9" s="15"/>
      <c r="AJ9" s="15"/>
    </row>
    <row r="10" spans="1:36" ht="15.75" customHeight="1" x14ac:dyDescent="0.25">
      <c r="A10" s="44">
        <v>3</v>
      </c>
      <c r="B10" s="52" t="s">
        <v>15</v>
      </c>
      <c r="C10" s="46"/>
      <c r="D10" s="47"/>
      <c r="E10" s="47"/>
      <c r="F10" s="47"/>
      <c r="G10" s="47"/>
      <c r="H10" s="47"/>
      <c r="I10" s="47"/>
      <c r="J10" s="38" t="e">
        <f>E10,G10,I10</f>
        <v>#VALUE!</v>
      </c>
      <c r="K10" s="46"/>
      <c r="L10" s="46"/>
      <c r="M10" s="46"/>
      <c r="N10" s="46"/>
      <c r="O10" s="46"/>
      <c r="P10" s="48"/>
      <c r="Q10" s="46" t="e">
        <f t="shared" si="0"/>
        <v>#VALUE!</v>
      </c>
      <c r="R10" s="46">
        <f t="shared" si="1"/>
        <v>0</v>
      </c>
      <c r="S10" s="46" t="e">
        <f t="shared" si="2"/>
        <v>#VALUE!</v>
      </c>
      <c r="T10" s="46">
        <f t="shared" si="3"/>
        <v>0</v>
      </c>
      <c r="U10" s="46">
        <f t="shared" si="4"/>
        <v>0</v>
      </c>
      <c r="V10" s="46" t="e">
        <f t="shared" si="5"/>
        <v>#VALUE!</v>
      </c>
      <c r="W10" s="49" t="e">
        <f t="shared" si="6"/>
        <v>#VALUE!</v>
      </c>
      <c r="X10" s="49" t="e">
        <f t="shared" si="7"/>
        <v>#VALUE!</v>
      </c>
      <c r="Y10" s="50"/>
      <c r="Z10" s="46"/>
      <c r="AA10" s="49" t="e">
        <f t="shared" si="8"/>
        <v>#DIV/0!</v>
      </c>
      <c r="AB10" s="54"/>
      <c r="AC10" s="14"/>
      <c r="AD10" s="12" t="e">
        <f t="shared" si="9"/>
        <v>#VALUE!</v>
      </c>
      <c r="AE10" s="13" t="e">
        <f t="shared" si="10"/>
        <v>#VALUE!</v>
      </c>
      <c r="AG10" s="15"/>
      <c r="AJ10" s="15"/>
    </row>
    <row r="11" spans="1:36" ht="15.75" customHeight="1" x14ac:dyDescent="0.25">
      <c r="A11" s="44">
        <v>4</v>
      </c>
      <c r="B11" s="45" t="s">
        <v>16</v>
      </c>
      <c r="C11" s="46"/>
      <c r="D11" s="47"/>
      <c r="E11" s="47"/>
      <c r="F11" s="47"/>
      <c r="G11" s="47"/>
      <c r="H11" s="47"/>
      <c r="I11" s="47"/>
      <c r="J11" s="38" t="e">
        <f>E11,G11,I11</f>
        <v>#VALUE!</v>
      </c>
      <c r="K11" s="46"/>
      <c r="L11" s="46"/>
      <c r="M11" s="46"/>
      <c r="N11" s="46"/>
      <c r="O11" s="46"/>
      <c r="P11" s="48"/>
      <c r="Q11" s="46" t="e">
        <f t="shared" si="0"/>
        <v>#VALUE!</v>
      </c>
      <c r="R11" s="46">
        <f t="shared" si="1"/>
        <v>0</v>
      </c>
      <c r="S11" s="46" t="e">
        <f t="shared" si="2"/>
        <v>#VALUE!</v>
      </c>
      <c r="T11" s="46">
        <f t="shared" si="3"/>
        <v>0</v>
      </c>
      <c r="U11" s="46">
        <f t="shared" si="4"/>
        <v>0</v>
      </c>
      <c r="V11" s="46" t="e">
        <f t="shared" si="5"/>
        <v>#VALUE!</v>
      </c>
      <c r="W11" s="49" t="e">
        <f t="shared" si="6"/>
        <v>#VALUE!</v>
      </c>
      <c r="X11" s="49" t="e">
        <f t="shared" si="7"/>
        <v>#VALUE!</v>
      </c>
      <c r="Y11" s="50"/>
      <c r="Z11" s="46"/>
      <c r="AA11" s="49" t="e">
        <f t="shared" si="8"/>
        <v>#DIV/0!</v>
      </c>
      <c r="AB11" s="51"/>
      <c r="AC11" s="14"/>
      <c r="AD11" s="12" t="e">
        <f t="shared" si="9"/>
        <v>#VALUE!</v>
      </c>
      <c r="AE11" s="13" t="e">
        <f t="shared" si="10"/>
        <v>#VALUE!</v>
      </c>
      <c r="AG11" s="15"/>
      <c r="AJ11" s="15"/>
    </row>
    <row r="12" spans="1:36" ht="15.75" customHeight="1" x14ac:dyDescent="0.25">
      <c r="A12" s="44">
        <v>5</v>
      </c>
      <c r="B12" s="45" t="s">
        <v>17</v>
      </c>
      <c r="C12" s="46"/>
      <c r="D12" s="47"/>
      <c r="E12" s="47"/>
      <c r="F12" s="47"/>
      <c r="G12" s="47"/>
      <c r="H12" s="47"/>
      <c r="I12" s="47"/>
      <c r="J12" s="38" t="e">
        <f>E12,G12,I12</f>
        <v>#VALUE!</v>
      </c>
      <c r="K12" s="46"/>
      <c r="L12" s="46"/>
      <c r="M12" s="46"/>
      <c r="N12" s="46"/>
      <c r="O12" s="46"/>
      <c r="P12" s="48"/>
      <c r="Q12" s="46" t="e">
        <f t="shared" si="0"/>
        <v>#VALUE!</v>
      </c>
      <c r="R12" s="46">
        <f t="shared" si="1"/>
        <v>0</v>
      </c>
      <c r="S12" s="46" t="e">
        <f t="shared" si="2"/>
        <v>#VALUE!</v>
      </c>
      <c r="T12" s="46">
        <f t="shared" si="3"/>
        <v>0</v>
      </c>
      <c r="U12" s="46">
        <f t="shared" si="4"/>
        <v>0</v>
      </c>
      <c r="V12" s="46" t="e">
        <f t="shared" si="5"/>
        <v>#VALUE!</v>
      </c>
      <c r="W12" s="49" t="e">
        <f t="shared" si="6"/>
        <v>#VALUE!</v>
      </c>
      <c r="X12" s="49" t="e">
        <f t="shared" si="7"/>
        <v>#VALUE!</v>
      </c>
      <c r="Y12" s="50"/>
      <c r="Z12" s="46"/>
      <c r="AA12" s="49" t="e">
        <f t="shared" si="8"/>
        <v>#DIV/0!</v>
      </c>
      <c r="AB12" s="51"/>
      <c r="AC12" s="14"/>
      <c r="AD12" s="12" t="e">
        <f t="shared" si="9"/>
        <v>#VALUE!</v>
      </c>
      <c r="AE12" s="13" t="e">
        <f t="shared" si="10"/>
        <v>#VALUE!</v>
      </c>
      <c r="AG12" s="15"/>
      <c r="AJ12" s="15"/>
    </row>
    <row r="13" spans="1:36" ht="15.75" customHeight="1" x14ac:dyDescent="0.25">
      <c r="A13" s="44">
        <v>6</v>
      </c>
      <c r="B13" s="45" t="s">
        <v>18</v>
      </c>
      <c r="C13" s="46"/>
      <c r="D13" s="47"/>
      <c r="E13" s="47"/>
      <c r="F13" s="47"/>
      <c r="G13" s="47"/>
      <c r="H13" s="47"/>
      <c r="I13" s="47"/>
      <c r="J13" s="38" t="e">
        <f>E13,G13,I13</f>
        <v>#VALUE!</v>
      </c>
      <c r="K13" s="46"/>
      <c r="L13" s="46"/>
      <c r="M13" s="46"/>
      <c r="N13" s="46"/>
      <c r="O13" s="46"/>
      <c r="P13" s="48"/>
      <c r="Q13" s="46" t="e">
        <f t="shared" si="0"/>
        <v>#VALUE!</v>
      </c>
      <c r="R13" s="46">
        <f t="shared" si="1"/>
        <v>0</v>
      </c>
      <c r="S13" s="46" t="e">
        <f t="shared" si="2"/>
        <v>#VALUE!</v>
      </c>
      <c r="T13" s="46">
        <f t="shared" si="3"/>
        <v>0</v>
      </c>
      <c r="U13" s="46">
        <f t="shared" si="4"/>
        <v>0</v>
      </c>
      <c r="V13" s="46" t="e">
        <f t="shared" si="5"/>
        <v>#VALUE!</v>
      </c>
      <c r="W13" s="49" t="e">
        <f t="shared" si="6"/>
        <v>#VALUE!</v>
      </c>
      <c r="X13" s="49" t="e">
        <f t="shared" si="7"/>
        <v>#VALUE!</v>
      </c>
      <c r="Y13" s="50"/>
      <c r="Z13" s="46"/>
      <c r="AA13" s="49" t="e">
        <f t="shared" si="8"/>
        <v>#DIV/0!</v>
      </c>
      <c r="AB13" s="51"/>
      <c r="AC13" s="14"/>
      <c r="AD13" s="12" t="e">
        <f t="shared" si="9"/>
        <v>#VALUE!</v>
      </c>
      <c r="AE13" s="13" t="e">
        <f t="shared" si="10"/>
        <v>#VALUE!</v>
      </c>
      <c r="AG13" s="15"/>
      <c r="AJ13" s="15"/>
    </row>
    <row r="14" spans="1:36" ht="15.75" customHeight="1" x14ac:dyDescent="0.25">
      <c r="A14" s="44">
        <v>7</v>
      </c>
      <c r="B14" s="52" t="s">
        <v>19</v>
      </c>
      <c r="C14" s="46"/>
      <c r="D14" s="47"/>
      <c r="E14" s="47"/>
      <c r="F14" s="47"/>
      <c r="G14" s="47"/>
      <c r="H14" s="47"/>
      <c r="I14" s="47"/>
      <c r="J14" s="38" t="e">
        <f>E14,G14,I14</f>
        <v>#VALUE!</v>
      </c>
      <c r="K14" s="46"/>
      <c r="L14" s="46"/>
      <c r="M14" s="46"/>
      <c r="N14" s="46"/>
      <c r="O14" s="46"/>
      <c r="P14" s="48"/>
      <c r="Q14" s="46" t="e">
        <f t="shared" si="0"/>
        <v>#VALUE!</v>
      </c>
      <c r="R14" s="46">
        <f t="shared" si="1"/>
        <v>0</v>
      </c>
      <c r="S14" s="46" t="e">
        <f t="shared" si="2"/>
        <v>#VALUE!</v>
      </c>
      <c r="T14" s="46">
        <f t="shared" si="3"/>
        <v>0</v>
      </c>
      <c r="U14" s="46">
        <f t="shared" si="4"/>
        <v>0</v>
      </c>
      <c r="V14" s="46" t="e">
        <f t="shared" si="5"/>
        <v>#VALUE!</v>
      </c>
      <c r="W14" s="49" t="e">
        <f t="shared" si="6"/>
        <v>#VALUE!</v>
      </c>
      <c r="X14" s="49" t="e">
        <f t="shared" si="7"/>
        <v>#VALUE!</v>
      </c>
      <c r="Y14" s="50"/>
      <c r="Z14" s="46"/>
      <c r="AA14" s="49" t="e">
        <f t="shared" si="8"/>
        <v>#DIV/0!</v>
      </c>
      <c r="AB14" s="55"/>
      <c r="AC14" s="14"/>
      <c r="AD14" s="12" t="e">
        <f t="shared" si="9"/>
        <v>#VALUE!</v>
      </c>
      <c r="AE14" s="13" t="e">
        <f t="shared" si="10"/>
        <v>#VALUE!</v>
      </c>
      <c r="AG14" s="15"/>
      <c r="AJ14" s="15"/>
    </row>
    <row r="15" spans="1:36" ht="15.75" customHeight="1" x14ac:dyDescent="0.25">
      <c r="A15" s="44">
        <v>8</v>
      </c>
      <c r="B15" s="45" t="s">
        <v>20</v>
      </c>
      <c r="C15" s="46"/>
      <c r="D15" s="47"/>
      <c r="E15" s="47"/>
      <c r="F15" s="47"/>
      <c r="G15" s="47"/>
      <c r="H15" s="47"/>
      <c r="I15" s="47"/>
      <c r="J15" s="38" t="e">
        <f>E15,G15,I15</f>
        <v>#VALUE!</v>
      </c>
      <c r="K15" s="46"/>
      <c r="L15" s="46"/>
      <c r="M15" s="46"/>
      <c r="N15" s="46"/>
      <c r="O15" s="46"/>
      <c r="P15" s="48"/>
      <c r="Q15" s="46" t="e">
        <f t="shared" si="0"/>
        <v>#VALUE!</v>
      </c>
      <c r="R15" s="46">
        <f t="shared" si="1"/>
        <v>0</v>
      </c>
      <c r="S15" s="46" t="e">
        <f t="shared" si="2"/>
        <v>#VALUE!</v>
      </c>
      <c r="T15" s="46">
        <f t="shared" si="3"/>
        <v>0</v>
      </c>
      <c r="U15" s="46">
        <f t="shared" si="4"/>
        <v>0</v>
      </c>
      <c r="V15" s="46" t="e">
        <f t="shared" si="5"/>
        <v>#VALUE!</v>
      </c>
      <c r="W15" s="49" t="e">
        <f t="shared" si="6"/>
        <v>#VALUE!</v>
      </c>
      <c r="X15" s="49" t="e">
        <f t="shared" si="7"/>
        <v>#VALUE!</v>
      </c>
      <c r="Y15" s="50"/>
      <c r="Z15" s="46"/>
      <c r="AA15" s="49" t="e">
        <f t="shared" si="8"/>
        <v>#DIV/0!</v>
      </c>
      <c r="AB15" s="56"/>
      <c r="AC15" s="14"/>
      <c r="AD15" s="12" t="e">
        <f t="shared" si="9"/>
        <v>#VALUE!</v>
      </c>
      <c r="AE15" s="13" t="e">
        <f t="shared" si="10"/>
        <v>#VALUE!</v>
      </c>
      <c r="AG15" s="15"/>
      <c r="AJ15" s="15"/>
    </row>
    <row r="16" spans="1:36" ht="15.75" customHeight="1" x14ac:dyDescent="0.25">
      <c r="A16" s="44">
        <v>9</v>
      </c>
      <c r="B16" s="45" t="s">
        <v>21</v>
      </c>
      <c r="C16" s="46"/>
      <c r="D16" s="47"/>
      <c r="E16" s="47"/>
      <c r="F16" s="47"/>
      <c r="G16" s="47"/>
      <c r="H16" s="47"/>
      <c r="I16" s="47"/>
      <c r="J16" s="38" t="e">
        <f>E16,G16,I16</f>
        <v>#VALUE!</v>
      </c>
      <c r="K16" s="46"/>
      <c r="L16" s="46"/>
      <c r="M16" s="46"/>
      <c r="N16" s="46"/>
      <c r="O16" s="46"/>
      <c r="P16" s="48"/>
      <c r="Q16" s="46" t="e">
        <f t="shared" si="0"/>
        <v>#VALUE!</v>
      </c>
      <c r="R16" s="46">
        <f t="shared" si="1"/>
        <v>0</v>
      </c>
      <c r="S16" s="46" t="e">
        <f t="shared" si="2"/>
        <v>#VALUE!</v>
      </c>
      <c r="T16" s="46">
        <f t="shared" si="3"/>
        <v>0</v>
      </c>
      <c r="U16" s="46">
        <f t="shared" si="4"/>
        <v>0</v>
      </c>
      <c r="V16" s="46" t="e">
        <f t="shared" si="5"/>
        <v>#VALUE!</v>
      </c>
      <c r="W16" s="49" t="e">
        <f t="shared" si="6"/>
        <v>#VALUE!</v>
      </c>
      <c r="X16" s="49" t="e">
        <f t="shared" si="7"/>
        <v>#VALUE!</v>
      </c>
      <c r="Y16" s="50"/>
      <c r="Z16" s="46"/>
      <c r="AA16" s="49" t="e">
        <f t="shared" si="8"/>
        <v>#DIV/0!</v>
      </c>
      <c r="AB16" s="51"/>
      <c r="AC16" s="14"/>
      <c r="AD16" s="12" t="e">
        <f t="shared" si="9"/>
        <v>#VALUE!</v>
      </c>
      <c r="AE16" s="13" t="e">
        <f t="shared" si="10"/>
        <v>#VALUE!</v>
      </c>
      <c r="AG16" s="15"/>
      <c r="AJ16" s="15"/>
    </row>
    <row r="17" spans="1:36" ht="15.75" customHeight="1" x14ac:dyDescent="0.25">
      <c r="A17" s="44">
        <v>10</v>
      </c>
      <c r="B17" s="45" t="s">
        <v>22</v>
      </c>
      <c r="C17" s="46"/>
      <c r="D17" s="47"/>
      <c r="E17" s="47"/>
      <c r="F17" s="47"/>
      <c r="G17" s="47"/>
      <c r="H17" s="47"/>
      <c r="I17" s="47"/>
      <c r="J17" s="38" t="e">
        <f>E17,G17,I17</f>
        <v>#VALUE!</v>
      </c>
      <c r="K17" s="46"/>
      <c r="L17" s="46"/>
      <c r="M17" s="46"/>
      <c r="N17" s="46"/>
      <c r="O17" s="46"/>
      <c r="P17" s="48"/>
      <c r="Q17" s="46" t="e">
        <f t="shared" si="0"/>
        <v>#VALUE!</v>
      </c>
      <c r="R17" s="46">
        <f t="shared" si="1"/>
        <v>0</v>
      </c>
      <c r="S17" s="46" t="e">
        <f t="shared" si="2"/>
        <v>#VALUE!</v>
      </c>
      <c r="T17" s="46">
        <f t="shared" si="3"/>
        <v>0</v>
      </c>
      <c r="U17" s="46">
        <f t="shared" si="4"/>
        <v>0</v>
      </c>
      <c r="V17" s="46" t="e">
        <f t="shared" si="5"/>
        <v>#VALUE!</v>
      </c>
      <c r="W17" s="49" t="e">
        <f t="shared" si="6"/>
        <v>#VALUE!</v>
      </c>
      <c r="X17" s="49" t="e">
        <f t="shared" si="7"/>
        <v>#VALUE!</v>
      </c>
      <c r="Y17" s="50"/>
      <c r="Z17" s="46"/>
      <c r="AA17" s="49" t="e">
        <f t="shared" si="8"/>
        <v>#DIV/0!</v>
      </c>
      <c r="AB17" s="51"/>
      <c r="AC17" s="14"/>
      <c r="AD17" s="12" t="e">
        <f t="shared" si="9"/>
        <v>#VALUE!</v>
      </c>
      <c r="AE17" s="13" t="e">
        <f t="shared" si="10"/>
        <v>#VALUE!</v>
      </c>
      <c r="AG17" s="15"/>
      <c r="AJ17" s="15"/>
    </row>
    <row r="18" spans="1:36" ht="15.75" customHeight="1" x14ac:dyDescent="0.25">
      <c r="A18" s="44">
        <v>11</v>
      </c>
      <c r="B18" s="52" t="s">
        <v>23</v>
      </c>
      <c r="C18" s="46"/>
      <c r="D18" s="47"/>
      <c r="E18" s="47"/>
      <c r="F18" s="47"/>
      <c r="G18" s="47"/>
      <c r="H18" s="47"/>
      <c r="I18" s="47"/>
      <c r="J18" s="38" t="e">
        <f>E18,G18,I18</f>
        <v>#VALUE!</v>
      </c>
      <c r="K18" s="46"/>
      <c r="L18" s="46"/>
      <c r="M18" s="46"/>
      <c r="N18" s="46"/>
      <c r="O18" s="46"/>
      <c r="P18" s="48"/>
      <c r="Q18" s="46" t="e">
        <f t="shared" si="0"/>
        <v>#VALUE!</v>
      </c>
      <c r="R18" s="46">
        <f t="shared" si="1"/>
        <v>0</v>
      </c>
      <c r="S18" s="46" t="e">
        <f t="shared" si="2"/>
        <v>#VALUE!</v>
      </c>
      <c r="T18" s="46">
        <f t="shared" si="3"/>
        <v>0</v>
      </c>
      <c r="U18" s="46">
        <f t="shared" si="4"/>
        <v>0</v>
      </c>
      <c r="V18" s="46" t="e">
        <f t="shared" si="5"/>
        <v>#VALUE!</v>
      </c>
      <c r="W18" s="49" t="e">
        <f t="shared" si="6"/>
        <v>#VALUE!</v>
      </c>
      <c r="X18" s="49" t="e">
        <f t="shared" si="7"/>
        <v>#VALUE!</v>
      </c>
      <c r="Y18" s="50"/>
      <c r="Z18" s="46"/>
      <c r="AA18" s="49" t="e">
        <f t="shared" si="8"/>
        <v>#DIV/0!</v>
      </c>
      <c r="AB18" s="57"/>
      <c r="AC18" s="14"/>
      <c r="AD18" s="12" t="e">
        <f t="shared" si="9"/>
        <v>#VALUE!</v>
      </c>
      <c r="AE18" s="13" t="e">
        <f t="shared" si="10"/>
        <v>#VALUE!</v>
      </c>
      <c r="AG18" s="15"/>
      <c r="AJ18" s="15"/>
    </row>
    <row r="19" spans="1:36" ht="15.75" customHeight="1" x14ac:dyDescent="0.25">
      <c r="A19" s="44">
        <v>12</v>
      </c>
      <c r="B19" s="45" t="s">
        <v>24</v>
      </c>
      <c r="C19" s="46"/>
      <c r="D19" s="47"/>
      <c r="E19" s="47"/>
      <c r="F19" s="47"/>
      <c r="G19" s="47"/>
      <c r="H19" s="47"/>
      <c r="I19" s="47"/>
      <c r="J19" s="38" t="e">
        <f>E19,G19,I19</f>
        <v>#VALUE!</v>
      </c>
      <c r="K19" s="46"/>
      <c r="L19" s="46"/>
      <c r="M19" s="46"/>
      <c r="N19" s="46"/>
      <c r="O19" s="46"/>
      <c r="P19" s="48"/>
      <c r="Q19" s="46" t="e">
        <f t="shared" si="0"/>
        <v>#VALUE!</v>
      </c>
      <c r="R19" s="46">
        <f t="shared" si="1"/>
        <v>0</v>
      </c>
      <c r="S19" s="46" t="e">
        <f t="shared" si="2"/>
        <v>#VALUE!</v>
      </c>
      <c r="T19" s="46">
        <f t="shared" si="3"/>
        <v>0</v>
      </c>
      <c r="U19" s="46">
        <f t="shared" si="4"/>
        <v>0</v>
      </c>
      <c r="V19" s="46" t="e">
        <f t="shared" si="5"/>
        <v>#VALUE!</v>
      </c>
      <c r="W19" s="49" t="e">
        <f t="shared" si="6"/>
        <v>#VALUE!</v>
      </c>
      <c r="X19" s="49" t="e">
        <f t="shared" si="7"/>
        <v>#VALUE!</v>
      </c>
      <c r="Y19" s="50"/>
      <c r="Z19" s="46"/>
      <c r="AA19" s="49" t="e">
        <f t="shared" si="8"/>
        <v>#DIV/0!</v>
      </c>
      <c r="AB19" s="51"/>
      <c r="AC19" s="14"/>
      <c r="AD19" s="12" t="e">
        <f t="shared" si="9"/>
        <v>#VALUE!</v>
      </c>
      <c r="AE19" s="13" t="e">
        <f t="shared" si="10"/>
        <v>#VALUE!</v>
      </c>
      <c r="AG19" s="15"/>
      <c r="AJ19" s="15"/>
    </row>
    <row r="20" spans="1:36" ht="15.75" customHeight="1" x14ac:dyDescent="0.25">
      <c r="A20" s="44">
        <v>13</v>
      </c>
      <c r="B20" s="52" t="s">
        <v>25</v>
      </c>
      <c r="C20" s="46"/>
      <c r="D20" s="47"/>
      <c r="E20" s="47"/>
      <c r="F20" s="47"/>
      <c r="G20" s="47"/>
      <c r="H20" s="47"/>
      <c r="I20" s="47"/>
      <c r="J20" s="38" t="e">
        <f>E20,G20,I20</f>
        <v>#VALUE!</v>
      </c>
      <c r="K20" s="46"/>
      <c r="L20" s="46"/>
      <c r="M20" s="46"/>
      <c r="N20" s="46"/>
      <c r="O20" s="46"/>
      <c r="P20" s="48"/>
      <c r="Q20" s="46" t="e">
        <f t="shared" si="0"/>
        <v>#VALUE!</v>
      </c>
      <c r="R20" s="46">
        <f t="shared" si="1"/>
        <v>0</v>
      </c>
      <c r="S20" s="46" t="e">
        <f t="shared" si="2"/>
        <v>#VALUE!</v>
      </c>
      <c r="T20" s="46">
        <f t="shared" si="3"/>
        <v>0</v>
      </c>
      <c r="U20" s="46">
        <f t="shared" si="4"/>
        <v>0</v>
      </c>
      <c r="V20" s="46" t="e">
        <f t="shared" si="5"/>
        <v>#VALUE!</v>
      </c>
      <c r="W20" s="49" t="e">
        <f t="shared" si="6"/>
        <v>#VALUE!</v>
      </c>
      <c r="X20" s="49" t="e">
        <f t="shared" si="7"/>
        <v>#VALUE!</v>
      </c>
      <c r="Y20" s="50"/>
      <c r="Z20" s="46"/>
      <c r="AA20" s="49" t="e">
        <f t="shared" si="8"/>
        <v>#DIV/0!</v>
      </c>
      <c r="AB20" s="51"/>
      <c r="AC20" s="14"/>
      <c r="AD20" s="12" t="e">
        <f t="shared" si="9"/>
        <v>#VALUE!</v>
      </c>
      <c r="AE20" s="13" t="e">
        <f t="shared" si="10"/>
        <v>#VALUE!</v>
      </c>
      <c r="AG20" s="15"/>
      <c r="AJ20" s="15"/>
    </row>
    <row r="21" spans="1:36" ht="15.75" customHeight="1" x14ac:dyDescent="0.25">
      <c r="A21" s="44">
        <v>14</v>
      </c>
      <c r="B21" s="45" t="s">
        <v>26</v>
      </c>
      <c r="C21" s="46"/>
      <c r="D21" s="47"/>
      <c r="E21" s="47"/>
      <c r="F21" s="47"/>
      <c r="G21" s="47"/>
      <c r="H21" s="47"/>
      <c r="I21" s="47"/>
      <c r="J21" s="38" t="e">
        <f>E21,G21,I21</f>
        <v>#VALUE!</v>
      </c>
      <c r="K21" s="46"/>
      <c r="L21" s="46"/>
      <c r="M21" s="46"/>
      <c r="N21" s="46"/>
      <c r="O21" s="46"/>
      <c r="P21" s="48"/>
      <c r="Q21" s="46" t="e">
        <f t="shared" si="0"/>
        <v>#VALUE!</v>
      </c>
      <c r="R21" s="46">
        <f t="shared" si="1"/>
        <v>0</v>
      </c>
      <c r="S21" s="46" t="e">
        <f t="shared" si="2"/>
        <v>#VALUE!</v>
      </c>
      <c r="T21" s="46">
        <f t="shared" si="3"/>
        <v>0</v>
      </c>
      <c r="U21" s="46">
        <f t="shared" si="4"/>
        <v>0</v>
      </c>
      <c r="V21" s="46" t="e">
        <f t="shared" si="5"/>
        <v>#VALUE!</v>
      </c>
      <c r="W21" s="49" t="e">
        <f t="shared" si="6"/>
        <v>#VALUE!</v>
      </c>
      <c r="X21" s="49" t="e">
        <f t="shared" si="7"/>
        <v>#VALUE!</v>
      </c>
      <c r="Y21" s="50"/>
      <c r="Z21" s="46"/>
      <c r="AA21" s="49" t="e">
        <f t="shared" si="8"/>
        <v>#DIV/0!</v>
      </c>
      <c r="AB21" s="4"/>
      <c r="AC21" s="14"/>
      <c r="AD21" s="12" t="e">
        <f t="shared" si="9"/>
        <v>#VALUE!</v>
      </c>
      <c r="AE21" s="13" t="e">
        <f t="shared" si="10"/>
        <v>#VALUE!</v>
      </c>
      <c r="AG21" s="15"/>
      <c r="AJ21" s="15"/>
    </row>
    <row r="22" spans="1:36" ht="15.75" customHeight="1" x14ac:dyDescent="0.25">
      <c r="A22" s="44">
        <v>15</v>
      </c>
      <c r="B22" s="45" t="s">
        <v>27</v>
      </c>
      <c r="C22" s="46"/>
      <c r="D22" s="47"/>
      <c r="E22" s="47"/>
      <c r="F22" s="47"/>
      <c r="G22" s="47"/>
      <c r="H22" s="47"/>
      <c r="I22" s="47"/>
      <c r="J22" s="38" t="e">
        <f>E22,G22,I22</f>
        <v>#VALUE!</v>
      </c>
      <c r="K22" s="46"/>
      <c r="L22" s="46"/>
      <c r="M22" s="46"/>
      <c r="N22" s="46"/>
      <c r="O22" s="46"/>
      <c r="P22" s="48"/>
      <c r="Q22" s="46" t="e">
        <f t="shared" si="0"/>
        <v>#VALUE!</v>
      </c>
      <c r="R22" s="46">
        <f t="shared" si="1"/>
        <v>0</v>
      </c>
      <c r="S22" s="46" t="e">
        <f t="shared" si="2"/>
        <v>#VALUE!</v>
      </c>
      <c r="T22" s="46">
        <f t="shared" si="3"/>
        <v>0</v>
      </c>
      <c r="U22" s="46">
        <f t="shared" si="4"/>
        <v>0</v>
      </c>
      <c r="V22" s="46" t="e">
        <f t="shared" si="5"/>
        <v>#VALUE!</v>
      </c>
      <c r="W22" s="49" t="e">
        <f t="shared" si="6"/>
        <v>#VALUE!</v>
      </c>
      <c r="X22" s="49" t="e">
        <f t="shared" si="7"/>
        <v>#VALUE!</v>
      </c>
      <c r="Y22" s="50"/>
      <c r="Z22" s="46"/>
      <c r="AA22" s="49" t="e">
        <f t="shared" si="8"/>
        <v>#DIV/0!</v>
      </c>
      <c r="AB22" s="51"/>
      <c r="AC22" s="14"/>
      <c r="AD22" s="12" t="e">
        <f t="shared" si="9"/>
        <v>#VALUE!</v>
      </c>
      <c r="AE22" s="13" t="e">
        <f t="shared" si="10"/>
        <v>#VALUE!</v>
      </c>
      <c r="AG22" s="15"/>
      <c r="AJ22" s="15"/>
    </row>
    <row r="23" spans="1:36" ht="15.75" customHeight="1" x14ac:dyDescent="0.25">
      <c r="A23" s="44">
        <v>16</v>
      </c>
      <c r="B23" s="52" t="s">
        <v>28</v>
      </c>
      <c r="C23" s="46"/>
      <c r="D23" s="47"/>
      <c r="E23" s="47"/>
      <c r="F23" s="47"/>
      <c r="G23" s="47"/>
      <c r="H23" s="47"/>
      <c r="I23" s="47"/>
      <c r="J23" s="38" t="e">
        <f>E23,G23,I23</f>
        <v>#VALUE!</v>
      </c>
      <c r="K23" s="46"/>
      <c r="L23" s="46"/>
      <c r="M23" s="46"/>
      <c r="N23" s="46"/>
      <c r="O23" s="46"/>
      <c r="P23" s="48"/>
      <c r="Q23" s="46" t="e">
        <f t="shared" si="0"/>
        <v>#VALUE!</v>
      </c>
      <c r="R23" s="46">
        <f t="shared" si="1"/>
        <v>0</v>
      </c>
      <c r="S23" s="46" t="e">
        <f t="shared" si="2"/>
        <v>#VALUE!</v>
      </c>
      <c r="T23" s="46">
        <f t="shared" si="3"/>
        <v>0</v>
      </c>
      <c r="U23" s="46">
        <f t="shared" si="4"/>
        <v>0</v>
      </c>
      <c r="V23" s="46" t="e">
        <f t="shared" si="5"/>
        <v>#VALUE!</v>
      </c>
      <c r="W23" s="49" t="e">
        <f t="shared" si="6"/>
        <v>#VALUE!</v>
      </c>
      <c r="X23" s="49" t="e">
        <f t="shared" si="7"/>
        <v>#VALUE!</v>
      </c>
      <c r="Y23" s="50"/>
      <c r="Z23" s="46"/>
      <c r="AA23" s="49" t="e">
        <f t="shared" si="8"/>
        <v>#DIV/0!</v>
      </c>
      <c r="AB23" s="56"/>
      <c r="AC23" s="14"/>
      <c r="AD23" s="12" t="e">
        <f t="shared" si="9"/>
        <v>#VALUE!</v>
      </c>
      <c r="AE23" s="13" t="e">
        <f t="shared" si="10"/>
        <v>#VALUE!</v>
      </c>
      <c r="AG23" s="15"/>
      <c r="AJ23" s="15"/>
    </row>
    <row r="24" spans="1:36" ht="15.75" customHeight="1" x14ac:dyDescent="0.25">
      <c r="A24" s="44">
        <v>17</v>
      </c>
      <c r="B24" s="45" t="s">
        <v>29</v>
      </c>
      <c r="C24" s="46"/>
      <c r="D24" s="47"/>
      <c r="E24" s="47"/>
      <c r="F24" s="47"/>
      <c r="G24" s="47"/>
      <c r="H24" s="47"/>
      <c r="I24" s="47"/>
      <c r="J24" s="38" t="e">
        <f>E24,G24,I24</f>
        <v>#VALUE!</v>
      </c>
      <c r="K24" s="46"/>
      <c r="L24" s="46"/>
      <c r="M24" s="46"/>
      <c r="N24" s="46"/>
      <c r="O24" s="46"/>
      <c r="P24" s="48"/>
      <c r="Q24" s="46" t="e">
        <f t="shared" si="0"/>
        <v>#VALUE!</v>
      </c>
      <c r="R24" s="46">
        <f t="shared" si="1"/>
        <v>0</v>
      </c>
      <c r="S24" s="46" t="e">
        <f t="shared" si="2"/>
        <v>#VALUE!</v>
      </c>
      <c r="T24" s="46">
        <f t="shared" si="3"/>
        <v>0</v>
      </c>
      <c r="U24" s="46">
        <f t="shared" si="4"/>
        <v>0</v>
      </c>
      <c r="V24" s="46" t="e">
        <f t="shared" si="5"/>
        <v>#VALUE!</v>
      </c>
      <c r="W24" s="49" t="e">
        <f t="shared" si="6"/>
        <v>#VALUE!</v>
      </c>
      <c r="X24" s="49" t="e">
        <f t="shared" si="7"/>
        <v>#VALUE!</v>
      </c>
      <c r="Y24" s="50"/>
      <c r="Z24" s="46"/>
      <c r="AA24" s="49" t="e">
        <f t="shared" si="8"/>
        <v>#DIV/0!</v>
      </c>
      <c r="AB24" s="51"/>
      <c r="AC24" s="14"/>
      <c r="AD24" s="12" t="e">
        <f t="shared" si="9"/>
        <v>#VALUE!</v>
      </c>
      <c r="AE24" s="13" t="e">
        <f t="shared" si="10"/>
        <v>#VALUE!</v>
      </c>
      <c r="AG24" s="15"/>
      <c r="AJ24" s="15"/>
    </row>
    <row r="25" spans="1:36" ht="15.75" customHeight="1" x14ac:dyDescent="0.25">
      <c r="A25" s="44">
        <v>18</v>
      </c>
      <c r="B25" s="52" t="s">
        <v>30</v>
      </c>
      <c r="C25" s="46"/>
      <c r="D25" s="47"/>
      <c r="E25" s="47"/>
      <c r="F25" s="47"/>
      <c r="G25" s="47"/>
      <c r="H25" s="47"/>
      <c r="I25" s="47"/>
      <c r="J25" s="38" t="e">
        <f>E25,G25,I25</f>
        <v>#VALUE!</v>
      </c>
      <c r="K25" s="46"/>
      <c r="L25" s="46"/>
      <c r="M25" s="46"/>
      <c r="N25" s="46"/>
      <c r="O25" s="46"/>
      <c r="P25" s="48"/>
      <c r="Q25" s="46" t="e">
        <f t="shared" si="0"/>
        <v>#VALUE!</v>
      </c>
      <c r="R25" s="46">
        <f t="shared" si="1"/>
        <v>0</v>
      </c>
      <c r="S25" s="46" t="e">
        <f t="shared" si="2"/>
        <v>#VALUE!</v>
      </c>
      <c r="T25" s="46">
        <f t="shared" si="3"/>
        <v>0</v>
      </c>
      <c r="U25" s="46">
        <f t="shared" si="4"/>
        <v>0</v>
      </c>
      <c r="V25" s="46" t="e">
        <f t="shared" si="5"/>
        <v>#VALUE!</v>
      </c>
      <c r="W25" s="49" t="e">
        <f t="shared" si="6"/>
        <v>#VALUE!</v>
      </c>
      <c r="X25" s="49" t="e">
        <f t="shared" si="7"/>
        <v>#VALUE!</v>
      </c>
      <c r="Y25" s="50"/>
      <c r="Z25" s="46"/>
      <c r="AA25" s="49" t="e">
        <f t="shared" si="8"/>
        <v>#DIV/0!</v>
      </c>
      <c r="AB25" s="51"/>
      <c r="AC25" s="14"/>
      <c r="AD25" s="12" t="e">
        <f t="shared" si="9"/>
        <v>#VALUE!</v>
      </c>
      <c r="AE25" s="13" t="e">
        <f t="shared" si="10"/>
        <v>#VALUE!</v>
      </c>
      <c r="AG25" s="15"/>
      <c r="AJ25" s="15"/>
    </row>
    <row r="26" spans="1:36" ht="15.75" customHeight="1" x14ac:dyDescent="0.25">
      <c r="A26" s="44">
        <v>19</v>
      </c>
      <c r="B26" s="58" t="s">
        <v>31</v>
      </c>
      <c r="C26" s="46"/>
      <c r="D26" s="47"/>
      <c r="E26" s="47"/>
      <c r="F26" s="47"/>
      <c r="G26" s="47"/>
      <c r="H26" s="47"/>
      <c r="I26" s="47"/>
      <c r="J26" s="38" t="e">
        <f>E26,G26,I26</f>
        <v>#VALUE!</v>
      </c>
      <c r="K26" s="46"/>
      <c r="L26" s="46"/>
      <c r="M26" s="46"/>
      <c r="N26" s="46"/>
      <c r="O26" s="46"/>
      <c r="P26" s="48"/>
      <c r="Q26" s="46" t="e">
        <f t="shared" si="0"/>
        <v>#VALUE!</v>
      </c>
      <c r="R26" s="46">
        <f t="shared" si="1"/>
        <v>0</v>
      </c>
      <c r="S26" s="46" t="e">
        <f t="shared" si="2"/>
        <v>#VALUE!</v>
      </c>
      <c r="T26" s="46">
        <f t="shared" si="3"/>
        <v>0</v>
      </c>
      <c r="U26" s="46">
        <f t="shared" si="4"/>
        <v>0</v>
      </c>
      <c r="V26" s="46" t="e">
        <f t="shared" si="5"/>
        <v>#VALUE!</v>
      </c>
      <c r="W26" s="49" t="e">
        <f t="shared" si="6"/>
        <v>#VALUE!</v>
      </c>
      <c r="X26" s="49" t="e">
        <f t="shared" si="7"/>
        <v>#VALUE!</v>
      </c>
      <c r="Y26" s="50"/>
      <c r="Z26" s="46"/>
      <c r="AA26" s="49" t="e">
        <f t="shared" si="8"/>
        <v>#DIV/0!</v>
      </c>
      <c r="AB26" s="51"/>
      <c r="AC26" s="14"/>
      <c r="AD26" s="12" t="e">
        <f t="shared" si="9"/>
        <v>#VALUE!</v>
      </c>
      <c r="AE26" s="13" t="e">
        <f t="shared" si="10"/>
        <v>#VALUE!</v>
      </c>
      <c r="AF26" s="15"/>
      <c r="AG26" s="15"/>
      <c r="AJ26" s="15"/>
    </row>
    <row r="27" spans="1:36" ht="15.75" customHeight="1" x14ac:dyDescent="0.25">
      <c r="A27" s="44">
        <v>20</v>
      </c>
      <c r="B27" s="45" t="s">
        <v>32</v>
      </c>
      <c r="C27" s="46"/>
      <c r="D27" s="47"/>
      <c r="E27" s="47"/>
      <c r="F27" s="47"/>
      <c r="G27" s="47"/>
      <c r="H27" s="47"/>
      <c r="I27" s="47"/>
      <c r="J27" s="38" t="e">
        <f>E27,G27,I27</f>
        <v>#VALUE!</v>
      </c>
      <c r="K27" s="46"/>
      <c r="L27" s="46"/>
      <c r="M27" s="46"/>
      <c r="N27" s="46"/>
      <c r="O27" s="46"/>
      <c r="P27" s="48"/>
      <c r="Q27" s="46" t="e">
        <f t="shared" si="0"/>
        <v>#VALUE!</v>
      </c>
      <c r="R27" s="46">
        <f t="shared" si="1"/>
        <v>0</v>
      </c>
      <c r="S27" s="46" t="e">
        <f t="shared" si="2"/>
        <v>#VALUE!</v>
      </c>
      <c r="T27" s="46">
        <f t="shared" si="3"/>
        <v>0</v>
      </c>
      <c r="U27" s="46">
        <f t="shared" si="4"/>
        <v>0</v>
      </c>
      <c r="V27" s="46" t="e">
        <f t="shared" si="5"/>
        <v>#VALUE!</v>
      </c>
      <c r="W27" s="49" t="e">
        <f t="shared" si="6"/>
        <v>#VALUE!</v>
      </c>
      <c r="X27" s="49" t="e">
        <f t="shared" si="7"/>
        <v>#VALUE!</v>
      </c>
      <c r="Y27" s="50"/>
      <c r="Z27" s="46"/>
      <c r="AA27" s="49" t="e">
        <f t="shared" si="8"/>
        <v>#DIV/0!</v>
      </c>
      <c r="AB27" s="51"/>
      <c r="AC27" s="14"/>
      <c r="AD27" s="12" t="e">
        <f t="shared" si="9"/>
        <v>#VALUE!</v>
      </c>
      <c r="AE27" s="13" t="e">
        <f t="shared" si="10"/>
        <v>#VALUE!</v>
      </c>
      <c r="AG27" s="15"/>
      <c r="AJ27" s="15"/>
    </row>
    <row r="28" spans="1:36" ht="15.75" customHeight="1" x14ac:dyDescent="0.25">
      <c r="A28" s="44">
        <v>21</v>
      </c>
      <c r="B28" s="52" t="s">
        <v>33</v>
      </c>
      <c r="C28" s="46"/>
      <c r="D28" s="47"/>
      <c r="E28" s="47"/>
      <c r="F28" s="47"/>
      <c r="G28" s="47"/>
      <c r="H28" s="47"/>
      <c r="I28" s="47"/>
      <c r="J28" s="38" t="e">
        <f>E28,G28,I28</f>
        <v>#VALUE!</v>
      </c>
      <c r="K28" s="46"/>
      <c r="L28" s="46"/>
      <c r="M28" s="46"/>
      <c r="N28" s="46"/>
      <c r="O28" s="46"/>
      <c r="P28" s="48"/>
      <c r="Q28" s="46" t="e">
        <f t="shared" si="0"/>
        <v>#VALUE!</v>
      </c>
      <c r="R28" s="46">
        <f t="shared" si="1"/>
        <v>0</v>
      </c>
      <c r="S28" s="46" t="e">
        <f t="shared" si="2"/>
        <v>#VALUE!</v>
      </c>
      <c r="T28" s="46">
        <f t="shared" si="3"/>
        <v>0</v>
      </c>
      <c r="U28" s="46">
        <f t="shared" si="4"/>
        <v>0</v>
      </c>
      <c r="V28" s="46" t="e">
        <f t="shared" si="5"/>
        <v>#VALUE!</v>
      </c>
      <c r="W28" s="49" t="e">
        <f t="shared" si="6"/>
        <v>#VALUE!</v>
      </c>
      <c r="X28" s="49" t="e">
        <f t="shared" si="7"/>
        <v>#VALUE!</v>
      </c>
      <c r="Y28" s="50"/>
      <c r="Z28" s="46"/>
      <c r="AA28" s="49" t="e">
        <f t="shared" si="8"/>
        <v>#DIV/0!</v>
      </c>
      <c r="AB28" s="51"/>
      <c r="AC28" s="14"/>
      <c r="AD28" s="12" t="e">
        <f t="shared" si="9"/>
        <v>#VALUE!</v>
      </c>
      <c r="AE28" s="13" t="e">
        <f t="shared" si="10"/>
        <v>#VALUE!</v>
      </c>
      <c r="AG28" s="15" t="s">
        <v>74</v>
      </c>
      <c r="AJ28" s="15"/>
    </row>
    <row r="29" spans="1:36" ht="30" customHeight="1" x14ac:dyDescent="0.25">
      <c r="A29" s="44">
        <v>22</v>
      </c>
      <c r="B29" s="59" t="s">
        <v>34</v>
      </c>
      <c r="C29" s="46">
        <f>D29+F29+H29</f>
        <v>0</v>
      </c>
      <c r="D29" s="93"/>
      <c r="E29" s="93"/>
      <c r="F29" s="93"/>
      <c r="G29" s="93"/>
      <c r="H29" s="93"/>
      <c r="I29" s="93"/>
      <c r="J29" s="46">
        <f>E29+G29+I29</f>
        <v>0</v>
      </c>
      <c r="K29" s="46"/>
      <c r="L29" s="46"/>
      <c r="M29" s="46"/>
      <c r="N29" s="46"/>
      <c r="O29" s="46"/>
      <c r="P29" s="48"/>
      <c r="Q29" s="46">
        <v>0</v>
      </c>
      <c r="R29" s="46">
        <f>SUM(N29:P29)</f>
        <v>0</v>
      </c>
      <c r="S29" s="46">
        <f>SUM(K29:P29)</f>
        <v>0</v>
      </c>
      <c r="T29" s="46">
        <f>K29+N29</f>
        <v>0</v>
      </c>
      <c r="U29" s="46">
        <f>L29+O29+M29+P29</f>
        <v>0</v>
      </c>
      <c r="V29" s="46">
        <f t="shared" si="5"/>
        <v>0</v>
      </c>
      <c r="W29" s="49" t="e">
        <f t="shared" si="6"/>
        <v>#DIV/0!</v>
      </c>
      <c r="X29" s="49" t="e">
        <f t="shared" si="7"/>
        <v>#DIV/0!</v>
      </c>
      <c r="Y29" s="50">
        <v>207</v>
      </c>
      <c r="Z29" s="46">
        <v>204</v>
      </c>
      <c r="AA29" s="49">
        <f t="shared" si="8"/>
        <v>0.98550724637681164</v>
      </c>
      <c r="AB29" s="60" t="s">
        <v>75</v>
      </c>
      <c r="AC29" s="14"/>
      <c r="AD29" s="12">
        <f t="shared" si="9"/>
        <v>0</v>
      </c>
      <c r="AE29" s="13" t="e">
        <f t="shared" si="10"/>
        <v>#DIV/0!</v>
      </c>
      <c r="AG29" s="61">
        <f>Z29/204</f>
        <v>1</v>
      </c>
      <c r="AJ29" s="15"/>
    </row>
    <row r="30" spans="1:36" ht="15.75" customHeight="1" x14ac:dyDescent="0.25">
      <c r="A30" s="44">
        <v>23</v>
      </c>
      <c r="B30" s="52" t="s">
        <v>35</v>
      </c>
      <c r="C30" s="46"/>
      <c r="D30" s="47"/>
      <c r="E30" s="47"/>
      <c r="F30" s="47"/>
      <c r="G30" s="47"/>
      <c r="H30" s="47"/>
      <c r="I30" s="47"/>
      <c r="J30" s="38" t="e">
        <f>E30,G30,I30</f>
        <v>#VALUE!</v>
      </c>
      <c r="K30" s="46"/>
      <c r="L30" s="46"/>
      <c r="M30" s="46"/>
      <c r="N30" s="46"/>
      <c r="O30" s="46"/>
      <c r="P30" s="48"/>
      <c r="Q30" s="46" t="e">
        <f>C30-J30</f>
        <v>#VALUE!</v>
      </c>
      <c r="R30" s="46">
        <f>SUM(N30:O30)</f>
        <v>0</v>
      </c>
      <c r="S30" s="46" t="e">
        <f>K30:O30</f>
        <v>#VALUE!</v>
      </c>
      <c r="T30" s="46">
        <f>K30+N30</f>
        <v>0</v>
      </c>
      <c r="U30" s="46">
        <f>L30+O30</f>
        <v>0</v>
      </c>
      <c r="V30" s="46" t="e">
        <f t="shared" si="5"/>
        <v>#VALUE!</v>
      </c>
      <c r="W30" s="49" t="e">
        <f t="shared" si="6"/>
        <v>#VALUE!</v>
      </c>
      <c r="X30" s="49" t="e">
        <f t="shared" si="7"/>
        <v>#VALUE!</v>
      </c>
      <c r="Y30" s="50"/>
      <c r="Z30" s="46"/>
      <c r="AA30" s="49" t="e">
        <f t="shared" si="8"/>
        <v>#DIV/0!</v>
      </c>
      <c r="AB30" s="51"/>
      <c r="AC30" s="14"/>
      <c r="AD30" s="12" t="e">
        <f t="shared" si="9"/>
        <v>#VALUE!</v>
      </c>
      <c r="AE30" s="13" t="e">
        <f t="shared" si="10"/>
        <v>#VALUE!</v>
      </c>
      <c r="AG30" s="15"/>
      <c r="AJ30" s="15"/>
    </row>
    <row r="31" spans="1:36" ht="15.75" customHeight="1" x14ac:dyDescent="0.25">
      <c r="A31" s="44">
        <v>24</v>
      </c>
      <c r="B31" s="52" t="s">
        <v>36</v>
      </c>
      <c r="C31" s="46"/>
      <c r="D31" s="47"/>
      <c r="E31" s="47"/>
      <c r="F31" s="47"/>
      <c r="G31" s="47"/>
      <c r="H31" s="47"/>
      <c r="I31" s="47"/>
      <c r="J31" s="38" t="e">
        <f>E31,G31,I31</f>
        <v>#VALUE!</v>
      </c>
      <c r="K31" s="46"/>
      <c r="L31" s="46"/>
      <c r="M31" s="46"/>
      <c r="N31" s="46"/>
      <c r="O31" s="46"/>
      <c r="P31" s="48"/>
      <c r="Q31" s="46" t="e">
        <f>C31-J31</f>
        <v>#VALUE!</v>
      </c>
      <c r="R31" s="46">
        <f>SUM(N31:O31)</f>
        <v>0</v>
      </c>
      <c r="S31" s="46" t="e">
        <f>K31:O31</f>
        <v>#VALUE!</v>
      </c>
      <c r="T31" s="46">
        <f>K31+N31</f>
        <v>0</v>
      </c>
      <c r="U31" s="46">
        <f>L31+O31</f>
        <v>0</v>
      </c>
      <c r="V31" s="46" t="e">
        <f t="shared" si="5"/>
        <v>#VALUE!</v>
      </c>
      <c r="W31" s="49" t="e">
        <f t="shared" si="6"/>
        <v>#VALUE!</v>
      </c>
      <c r="X31" s="49" t="e">
        <f t="shared" si="7"/>
        <v>#VALUE!</v>
      </c>
      <c r="Y31" s="50"/>
      <c r="Z31" s="46"/>
      <c r="AA31" s="49" t="e">
        <f t="shared" si="8"/>
        <v>#DIV/0!</v>
      </c>
      <c r="AB31" s="51"/>
      <c r="AC31" s="14"/>
      <c r="AD31" s="12" t="e">
        <f t="shared" si="9"/>
        <v>#VALUE!</v>
      </c>
      <c r="AE31" s="13" t="e">
        <f t="shared" si="10"/>
        <v>#VALUE!</v>
      </c>
      <c r="AG31" s="15"/>
      <c r="AJ31" s="15"/>
    </row>
    <row r="32" spans="1:36" ht="15.75" customHeight="1" x14ac:dyDescent="0.25">
      <c r="A32" s="44">
        <v>25</v>
      </c>
      <c r="B32" s="45" t="s">
        <v>37</v>
      </c>
      <c r="C32" s="46"/>
      <c r="D32" s="47"/>
      <c r="E32" s="47"/>
      <c r="F32" s="47"/>
      <c r="G32" s="47"/>
      <c r="H32" s="47"/>
      <c r="I32" s="47"/>
      <c r="J32" s="38" t="e">
        <f>E32,G32,I32</f>
        <v>#VALUE!</v>
      </c>
      <c r="K32" s="12"/>
      <c r="L32" s="12"/>
      <c r="M32" s="12"/>
      <c r="N32" s="12"/>
      <c r="O32" s="12"/>
      <c r="P32" s="62"/>
      <c r="Q32" s="46" t="e">
        <f>C32-J32</f>
        <v>#VALUE!</v>
      </c>
      <c r="R32" s="46">
        <f>SUM(N32:O32)</f>
        <v>0</v>
      </c>
      <c r="S32" s="46" t="e">
        <f>K32:O32</f>
        <v>#VALUE!</v>
      </c>
      <c r="T32" s="46">
        <f>K32+N32</f>
        <v>0</v>
      </c>
      <c r="U32" s="46">
        <f>L32+O32</f>
        <v>0</v>
      </c>
      <c r="V32" s="46" t="e">
        <f t="shared" si="5"/>
        <v>#VALUE!</v>
      </c>
      <c r="W32" s="49" t="e">
        <f t="shared" si="6"/>
        <v>#VALUE!</v>
      </c>
      <c r="X32" s="49" t="e">
        <f t="shared" si="7"/>
        <v>#VALUE!</v>
      </c>
      <c r="Y32" s="50"/>
      <c r="Z32" s="46"/>
      <c r="AA32" s="49" t="e">
        <f t="shared" si="8"/>
        <v>#DIV/0!</v>
      </c>
      <c r="AB32" s="51"/>
      <c r="AC32" s="14"/>
      <c r="AD32" s="12" t="e">
        <f t="shared" si="9"/>
        <v>#VALUE!</v>
      </c>
      <c r="AE32" s="13" t="e">
        <f t="shared" si="10"/>
        <v>#VALUE!</v>
      </c>
      <c r="AG32" s="15"/>
      <c r="AJ32" s="15"/>
    </row>
    <row r="33" spans="1:31" ht="21.75" customHeight="1" x14ac:dyDescent="0.25">
      <c r="A33" s="76" t="s">
        <v>38</v>
      </c>
      <c r="B33" s="76"/>
      <c r="C33" s="18">
        <f t="shared" ref="C33:L33" si="11">SUM(C8:C32)</f>
        <v>0</v>
      </c>
      <c r="D33" s="18">
        <f t="shared" si="11"/>
        <v>0</v>
      </c>
      <c r="E33" s="18">
        <f t="shared" si="11"/>
        <v>0</v>
      </c>
      <c r="F33" s="18">
        <f t="shared" si="11"/>
        <v>0</v>
      </c>
      <c r="G33" s="18">
        <f t="shared" si="11"/>
        <v>0</v>
      </c>
      <c r="H33" s="18">
        <f t="shared" si="11"/>
        <v>0</v>
      </c>
      <c r="I33" s="18">
        <f t="shared" si="11"/>
        <v>0</v>
      </c>
      <c r="J33" s="18" t="e">
        <f t="shared" si="11"/>
        <v>#VALUE!</v>
      </c>
      <c r="K33" s="18">
        <f t="shared" si="11"/>
        <v>0</v>
      </c>
      <c r="L33" s="18">
        <f t="shared" si="11"/>
        <v>0</v>
      </c>
      <c r="M33" s="18"/>
      <c r="N33" s="18">
        <f>SUM(N8:N32)</f>
        <v>0</v>
      </c>
      <c r="O33" s="18">
        <f>SUM(O8:O32)</f>
        <v>0</v>
      </c>
      <c r="P33" s="63"/>
      <c r="Q33" s="64" t="e">
        <f t="shared" ref="Q33:AA33" si="12">SUM(Q8:Q32)</f>
        <v>#VALUE!</v>
      </c>
      <c r="R33" s="64">
        <f t="shared" si="12"/>
        <v>0</v>
      </c>
      <c r="S33" s="64" t="e">
        <f t="shared" si="12"/>
        <v>#VALUE!</v>
      </c>
      <c r="T33" s="64">
        <f t="shared" si="12"/>
        <v>0</v>
      </c>
      <c r="U33" s="64">
        <f t="shared" si="12"/>
        <v>0</v>
      </c>
      <c r="V33" s="64" t="e">
        <f t="shared" si="12"/>
        <v>#VALUE!</v>
      </c>
      <c r="W33" s="64" t="e">
        <f t="shared" si="12"/>
        <v>#VALUE!</v>
      </c>
      <c r="X33" s="64" t="e">
        <f t="shared" si="12"/>
        <v>#VALUE!</v>
      </c>
      <c r="Y33" s="65">
        <f t="shared" si="12"/>
        <v>207</v>
      </c>
      <c r="Z33" s="18">
        <f t="shared" si="12"/>
        <v>204</v>
      </c>
      <c r="AA33" s="18" t="e">
        <f t="shared" si="12"/>
        <v>#DIV/0!</v>
      </c>
      <c r="AB33" s="51"/>
      <c r="AD33" s="66" t="e">
        <f>SUM(AD7:AD32)</f>
        <v>#VALUE!</v>
      </c>
      <c r="AE33" s="67" t="e">
        <f t="shared" si="10"/>
        <v>#VALUE!</v>
      </c>
    </row>
    <row r="34" spans="1:31" ht="21.75" customHeight="1" x14ac:dyDescent="0.25">
      <c r="A34" s="68"/>
      <c r="B34" s="68"/>
      <c r="C34" s="69"/>
      <c r="D34" s="69"/>
      <c r="E34" s="69"/>
      <c r="F34" s="69"/>
      <c r="G34" s="69"/>
      <c r="H34" s="69"/>
      <c r="I34" s="69"/>
      <c r="J34" s="69"/>
      <c r="K34" s="69"/>
      <c r="L34" s="69"/>
      <c r="M34" s="69"/>
      <c r="N34" s="69"/>
      <c r="O34" s="69"/>
      <c r="P34" s="69"/>
      <c r="Q34" s="70"/>
      <c r="R34" s="70"/>
      <c r="S34" s="70"/>
      <c r="T34" s="70"/>
      <c r="U34" s="70"/>
      <c r="V34" s="70"/>
      <c r="W34" s="70"/>
      <c r="X34" s="70"/>
      <c r="Y34" s="69"/>
      <c r="Z34" s="69"/>
      <c r="AA34" s="69"/>
      <c r="AB34" s="22"/>
      <c r="AD34" s="71"/>
      <c r="AE34" s="72"/>
    </row>
    <row r="35" spans="1:31" ht="21.75" customHeight="1" x14ac:dyDescent="0.25">
      <c r="A35" s="68"/>
      <c r="B35" s="68"/>
      <c r="C35" s="69"/>
      <c r="D35" s="69"/>
      <c r="E35" s="69"/>
      <c r="F35" s="69"/>
      <c r="G35" s="69"/>
      <c r="H35" s="69"/>
      <c r="I35" s="69"/>
      <c r="J35" s="69"/>
      <c r="K35" s="69"/>
      <c r="L35" s="69"/>
      <c r="M35" s="69"/>
      <c r="N35" s="69"/>
      <c r="O35" s="69"/>
      <c r="P35" s="69"/>
      <c r="Q35" s="70"/>
      <c r="R35" s="70"/>
      <c r="S35" s="70"/>
      <c r="T35" s="70"/>
      <c r="U35" s="70"/>
      <c r="V35" s="70"/>
      <c r="W35" s="70"/>
      <c r="X35" s="70"/>
      <c r="Y35" s="69"/>
      <c r="Z35" s="69"/>
      <c r="AA35" s="69"/>
      <c r="AB35" s="22"/>
      <c r="AD35" s="71"/>
      <c r="AE35" s="72"/>
    </row>
    <row r="37" spans="1:31" ht="21" customHeight="1" x14ac:dyDescent="0.35">
      <c r="B37" s="73" t="s">
        <v>76</v>
      </c>
      <c r="C37" s="73" t="s">
        <v>77</v>
      </c>
      <c r="D37" s="82" t="s">
        <v>78</v>
      </c>
      <c r="E37" s="82"/>
      <c r="F37" s="82"/>
    </row>
    <row r="39" spans="1:31" ht="20.25" customHeight="1" x14ac:dyDescent="0.25">
      <c r="V39" s="74"/>
    </row>
  </sheetData>
  <mergeCells count="30">
    <mergeCell ref="V1:X1"/>
    <mergeCell ref="A2:X2"/>
    <mergeCell ref="A3:A6"/>
    <mergeCell ref="B3:B6"/>
    <mergeCell ref="C3:X3"/>
    <mergeCell ref="X5:X6"/>
    <mergeCell ref="Y3:AA3"/>
    <mergeCell ref="C4:C6"/>
    <mergeCell ref="D4:I4"/>
    <mergeCell ref="K4:P4"/>
    <mergeCell ref="D5:E5"/>
    <mergeCell ref="F5:G5"/>
    <mergeCell ref="H5:I5"/>
    <mergeCell ref="J5:J6"/>
    <mergeCell ref="K5:M5"/>
    <mergeCell ref="N5:P5"/>
    <mergeCell ref="Q5:Q6"/>
    <mergeCell ref="R5:R6"/>
    <mergeCell ref="S5:S6"/>
    <mergeCell ref="T5:T6"/>
    <mergeCell ref="U5:U6"/>
    <mergeCell ref="V5:W5"/>
    <mergeCell ref="AD5:AE5"/>
    <mergeCell ref="A33:B33"/>
    <mergeCell ref="D37:F37"/>
    <mergeCell ref="Y5:Y6"/>
    <mergeCell ref="Z5:Z6"/>
    <mergeCell ref="AA5:AA6"/>
    <mergeCell ref="AB5:AB6"/>
    <mergeCell ref="AC5:AC6"/>
  </mergeCells>
  <pageMargins left="0.25" right="0.25" top="0.75" bottom="0.75" header="0.51180555555555496" footer="0.51180555555555496"/>
  <pageSetup paperSize="9" scale="36" firstPageNumber="0" fitToHeight="0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3</vt:i4>
      </vt:variant>
    </vt:vector>
  </HeadingPairs>
  <TitlesOfParts>
    <vt:vector size="6" baseType="lpstr">
      <vt:lpstr>Лист1</vt:lpstr>
      <vt:lpstr>Лист</vt:lpstr>
      <vt:lpstr>04</vt:lpstr>
      <vt:lpstr>'04'!Область_печати</vt:lpstr>
      <vt:lpstr>Лист!Область_печати</vt:lpstr>
      <vt:lpstr>Лист1!Область_печати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Горлов Сергей Анатольевич</dc:creator>
  <dc:description/>
  <cp:lastModifiedBy>Згода Владислав Геннадьевич</cp:lastModifiedBy>
  <cp:revision>1</cp:revision>
  <cp:lastPrinted>2023-07-07T05:17:53Z</cp:lastPrinted>
  <dcterms:created xsi:type="dcterms:W3CDTF">2021-08-26T12:36:47Z</dcterms:created>
  <dcterms:modified xsi:type="dcterms:W3CDTF">2024-09-09T10:51:02Z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3.1</vt:lpwstr>
  </property>
</Properties>
</file>